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21\"/>
    </mc:Choice>
  </mc:AlternateContent>
  <bookViews>
    <workbookView xWindow="-120" yWindow="-120" windowWidth="19440" windowHeight="15600" tabRatio="973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state="hidden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2 RESCUE TECH CERTS" sheetId="156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657 POSTAGE" sheetId="86" r:id="rId40"/>
    <sheet name="658 PROP &amp; LIABILITY" sheetId="135" r:id="rId41"/>
    <sheet name="659 PROFESSIONAL SVCS" sheetId="85" r:id="rId42"/>
    <sheet name="660 PUBLIC NOTICES" sheetId="83" r:id="rId43"/>
    <sheet name="661 TELEPHONE" sheetId="15" r:id="rId44"/>
    <sheet name="662 UTILITIES" sheetId="16" r:id="rId45"/>
    <sheet name="663 BOND DEBT SVC" sheetId="90" r:id="rId46"/>
    <sheet name="664 TCESD COMPENSATION" sheetId="101" r:id="rId47"/>
    <sheet name="665 GRANT MATCHING" sheetId="137" r:id="rId48"/>
    <sheet name="666 CONTRACT SERVICES" sheetId="139" state="hidden" r:id="rId49"/>
    <sheet name="671 PREVENTION" sheetId="134" r:id="rId50"/>
    <sheet name="672 PUBLIC EDUCATION" sheetId="102" r:id="rId51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6" l="1"/>
  <c r="H5" i="156"/>
  <c r="I5" i="156" s="1"/>
  <c r="H6" i="156"/>
  <c r="H7" i="156"/>
  <c r="H8" i="156"/>
  <c r="I8" i="156" s="1"/>
  <c r="H9" i="156"/>
  <c r="I9" i="156" s="1"/>
  <c r="H10" i="156"/>
  <c r="H11" i="156"/>
  <c r="I11" i="156" s="1"/>
  <c r="H12" i="156"/>
  <c r="H13" i="156"/>
  <c r="H14" i="156"/>
  <c r="H15" i="156"/>
  <c r="I15" i="156" s="1"/>
  <c r="H16" i="156"/>
  <c r="I16" i="156" s="1"/>
  <c r="H17" i="156"/>
  <c r="H18" i="156"/>
  <c r="H19" i="156"/>
  <c r="H20" i="156"/>
  <c r="H21" i="156"/>
  <c r="I21" i="156" s="1"/>
  <c r="H22" i="156"/>
  <c r="I22" i="156" s="1"/>
  <c r="H23" i="156"/>
  <c r="H24" i="156"/>
  <c r="H25" i="156"/>
  <c r="H26" i="156"/>
  <c r="H27" i="156"/>
  <c r="I27" i="156" s="1"/>
  <c r="H28" i="156"/>
  <c r="I28" i="156" s="1"/>
  <c r="H29" i="156"/>
  <c r="H30" i="156"/>
  <c r="H31" i="156"/>
  <c r="H32" i="156"/>
  <c r="H33" i="156"/>
  <c r="I33" i="156" s="1"/>
  <c r="H3" i="156"/>
  <c r="H2" i="156"/>
  <c r="I13" i="156"/>
  <c r="I32" i="156"/>
  <c r="I31" i="156"/>
  <c r="I30" i="156"/>
  <c r="I29" i="156"/>
  <c r="I26" i="156"/>
  <c r="I25" i="156"/>
  <c r="I24" i="156"/>
  <c r="I23" i="156"/>
  <c r="I20" i="156"/>
  <c r="I19" i="156"/>
  <c r="I18" i="156"/>
  <c r="I17" i="156"/>
  <c r="I14" i="156"/>
  <c r="I12" i="156"/>
  <c r="I10" i="156"/>
  <c r="I7" i="156"/>
  <c r="I6" i="156"/>
  <c r="I4" i="156"/>
  <c r="I3" i="156"/>
  <c r="I2" i="156"/>
  <c r="K16" i="100" l="1"/>
  <c r="K12" i="132"/>
  <c r="K33" i="69"/>
  <c r="K21" i="116"/>
  <c r="B9" i="117"/>
  <c r="K17" i="65"/>
  <c r="K14" i="65"/>
  <c r="D53" i="105" l="1"/>
  <c r="K13" i="75" l="1"/>
  <c r="K6" i="113"/>
  <c r="L20" i="141" l="1"/>
  <c r="M43" i="151" l="1"/>
  <c r="M42" i="151"/>
  <c r="M41" i="151"/>
  <c r="M40" i="151"/>
  <c r="M36" i="151"/>
  <c r="M20" i="151"/>
  <c r="M18" i="151"/>
  <c r="C17" i="151" s="1"/>
  <c r="M13" i="151"/>
  <c r="M9" i="151"/>
  <c r="M6" i="151"/>
  <c r="M3" i="151"/>
  <c r="I31" i="151"/>
  <c r="I30" i="151"/>
  <c r="I29" i="151"/>
  <c r="I28" i="151"/>
  <c r="I27" i="151"/>
  <c r="I26" i="151"/>
  <c r="I25" i="151"/>
  <c r="I24" i="151"/>
  <c r="I23" i="151"/>
  <c r="I22" i="151"/>
  <c r="I21" i="151"/>
  <c r="I20" i="151"/>
  <c r="I19" i="151"/>
  <c r="I18" i="151"/>
  <c r="I17" i="151"/>
  <c r="I16" i="151"/>
  <c r="I15" i="151"/>
  <c r="I14" i="151"/>
  <c r="I13" i="151"/>
  <c r="I12" i="151"/>
  <c r="I11" i="151"/>
  <c r="I10" i="151"/>
  <c r="I9" i="151"/>
  <c r="I8" i="151"/>
  <c r="I7" i="151"/>
  <c r="I6" i="151"/>
  <c r="I5" i="151"/>
  <c r="I4" i="151"/>
  <c r="I3" i="151"/>
  <c r="I2" i="151"/>
  <c r="I33" i="151"/>
  <c r="H33" i="151"/>
  <c r="B33" i="151"/>
  <c r="J21" i="153"/>
  <c r="K9" i="90"/>
  <c r="K7" i="83"/>
  <c r="K25" i="88"/>
  <c r="K12" i="88"/>
  <c r="K16" i="79"/>
  <c r="K27" i="125"/>
  <c r="K9" i="126"/>
  <c r="K30" i="69"/>
  <c r="K10" i="123"/>
  <c r="K29" i="100"/>
  <c r="K24" i="125"/>
  <c r="K9" i="65"/>
  <c r="K8" i="65"/>
  <c r="K7" i="65"/>
  <c r="K12" i="8"/>
  <c r="K5" i="120"/>
  <c r="L7" i="141"/>
  <c r="L4" i="141"/>
  <c r="K9" i="116" l="1"/>
  <c r="K20" i="141"/>
  <c r="J12" i="8"/>
  <c r="N14" i="141" l="1"/>
  <c r="M15" i="141"/>
  <c r="M11" i="141"/>
  <c r="K6" i="102"/>
  <c r="K8" i="102"/>
  <c r="K10" i="102"/>
  <c r="K17" i="134"/>
  <c r="K13" i="137"/>
  <c r="K6" i="101"/>
  <c r="K11" i="101" s="1"/>
  <c r="K15" i="90"/>
  <c r="M17" i="141" s="1"/>
  <c r="K5" i="16"/>
  <c r="K6" i="16"/>
  <c r="K17" i="16" s="1"/>
  <c r="K7" i="16"/>
  <c r="K8" i="16"/>
  <c r="K9" i="16"/>
  <c r="K10" i="16"/>
  <c r="K11" i="16"/>
  <c r="K12" i="16"/>
  <c r="K13" i="16"/>
  <c r="K14" i="16"/>
  <c r="K4" i="15"/>
  <c r="K5" i="15"/>
  <c r="K8" i="15"/>
  <c r="K12" i="15"/>
  <c r="K13" i="83"/>
  <c r="K14" i="85"/>
  <c r="K9" i="85"/>
  <c r="K6" i="135"/>
  <c r="K7" i="135"/>
  <c r="K16" i="135" s="1"/>
  <c r="K8" i="135"/>
  <c r="K9" i="135"/>
  <c r="K10" i="135"/>
  <c r="K11" i="135"/>
  <c r="K11" i="86"/>
  <c r="I6" i="88"/>
  <c r="K27" i="88"/>
  <c r="K8" i="88"/>
  <c r="K10" i="88"/>
  <c r="K22" i="88"/>
  <c r="K24" i="88"/>
  <c r="K5" i="79"/>
  <c r="K13" i="80"/>
  <c r="K7" i="75"/>
  <c r="K16" i="75" s="1"/>
  <c r="K8" i="77"/>
  <c r="K20" i="77" s="1"/>
  <c r="K7" i="74"/>
  <c r="K14" i="74"/>
  <c r="K18" i="136"/>
  <c r="K11" i="132"/>
  <c r="K14" i="133"/>
  <c r="E7" i="131"/>
  <c r="E16" i="131"/>
  <c r="E13" i="131"/>
  <c r="E10" i="131"/>
  <c r="E4" i="131"/>
  <c r="J15" i="153"/>
  <c r="K6" i="153"/>
  <c r="J18" i="153"/>
  <c r="J17" i="153"/>
  <c r="J16" i="153"/>
  <c r="K20" i="153"/>
  <c r="J20" i="153"/>
  <c r="J11" i="153"/>
  <c r="K10" i="153" s="1"/>
  <c r="J6" i="153"/>
  <c r="J5" i="147"/>
  <c r="J12" i="147" s="1"/>
  <c r="F30" i="105" s="1"/>
  <c r="K19" i="140"/>
  <c r="K12" i="125"/>
  <c r="K33" i="125"/>
  <c r="K21" i="126"/>
  <c r="K19" i="126"/>
  <c r="K18" i="126"/>
  <c r="K6" i="126"/>
  <c r="K5" i="112"/>
  <c r="K8" i="112" s="1"/>
  <c r="K10" i="122"/>
  <c r="K13" i="123"/>
  <c r="J26" i="116"/>
  <c r="K26" i="116"/>
  <c r="I26" i="116"/>
  <c r="K5" i="116"/>
  <c r="K28" i="116" s="1"/>
  <c r="K10" i="116"/>
  <c r="K12" i="116"/>
  <c r="K15" i="116"/>
  <c r="K21" i="100"/>
  <c r="K31" i="100"/>
  <c r="K24" i="95"/>
  <c r="K5" i="67"/>
  <c r="K11" i="67"/>
  <c r="K12" i="67"/>
  <c r="K13" i="67"/>
  <c r="K16" i="67"/>
  <c r="K9" i="113"/>
  <c r="K6" i="65"/>
  <c r="K10" i="65"/>
  <c r="K13" i="65"/>
  <c r="K18" i="65"/>
  <c r="K19" i="65"/>
  <c r="K21" i="65" l="1"/>
  <c r="K25" i="67"/>
  <c r="K6" i="115"/>
  <c r="K38" i="69"/>
  <c r="F26" i="105" s="1"/>
  <c r="K23" i="126"/>
  <c r="F27" i="105" s="1"/>
  <c r="K22" i="132"/>
  <c r="K40" i="74"/>
  <c r="F36" i="105" s="1"/>
  <c r="K16" i="102"/>
  <c r="J14" i="8"/>
  <c r="K5" i="119"/>
  <c r="K12" i="119" s="1"/>
  <c r="F14" i="105" s="1"/>
  <c r="K4" i="120"/>
  <c r="K12" i="120" s="1"/>
  <c r="F13" i="105" s="1"/>
  <c r="F52" i="105"/>
  <c r="F51" i="105"/>
  <c r="F50" i="105"/>
  <c r="F49" i="105"/>
  <c r="F48" i="105"/>
  <c r="F47" i="105"/>
  <c r="F46" i="105"/>
  <c r="F45" i="105"/>
  <c r="F44" i="105"/>
  <c r="F43" i="105"/>
  <c r="F42" i="105"/>
  <c r="F41" i="105"/>
  <c r="F39" i="105"/>
  <c r="F38" i="105"/>
  <c r="F37" i="105"/>
  <c r="F35" i="105"/>
  <c r="F34" i="105"/>
  <c r="F33" i="105"/>
  <c r="F29" i="105"/>
  <c r="F28" i="105"/>
  <c r="F25" i="105"/>
  <c r="F24" i="105"/>
  <c r="F23" i="105"/>
  <c r="F21" i="105"/>
  <c r="F20" i="105"/>
  <c r="F19" i="105"/>
  <c r="F18" i="105"/>
  <c r="F17" i="105"/>
  <c r="F6" i="105"/>
  <c r="F8" i="105"/>
  <c r="F4" i="105"/>
  <c r="F2" i="105"/>
  <c r="L18" i="141"/>
  <c r="L9" i="141"/>
  <c r="L8" i="141"/>
  <c r="M8" i="141" l="1"/>
  <c r="F5" i="105" s="1"/>
  <c r="F3" i="105"/>
  <c r="F9" i="105"/>
  <c r="K4" i="141" l="1"/>
  <c r="J5" i="120" l="1"/>
  <c r="J5" i="15" l="1"/>
  <c r="J33" i="69"/>
  <c r="J4" i="120"/>
  <c r="J5" i="112"/>
  <c r="H19" i="65"/>
  <c r="J19" i="65"/>
  <c r="I19" i="65"/>
  <c r="J18" i="65"/>
  <c r="I18" i="65"/>
  <c r="H18" i="65"/>
  <c r="I42" i="151"/>
  <c r="C42" i="151" s="1"/>
  <c r="E42" i="151" s="1"/>
  <c r="K3" i="141"/>
  <c r="J11" i="135"/>
  <c r="J10" i="135"/>
  <c r="J9" i="135"/>
  <c r="J8" i="135"/>
  <c r="J7" i="135"/>
  <c r="J6" i="135"/>
  <c r="J16" i="135" s="1"/>
  <c r="J9" i="90" l="1"/>
  <c r="J17" i="65" l="1"/>
  <c r="J14" i="16"/>
  <c r="J8" i="88"/>
  <c r="J12" i="125"/>
  <c r="J27" i="125"/>
  <c r="J18" i="126"/>
  <c r="J21" i="126"/>
  <c r="J19" i="126"/>
  <c r="J11" i="123"/>
  <c r="J13" i="95"/>
  <c r="J23" i="67"/>
  <c r="H9" i="153"/>
  <c r="I11" i="153" l="1"/>
  <c r="J16" i="100"/>
  <c r="J20" i="116"/>
  <c r="I20" i="153"/>
  <c r="I21" i="153"/>
  <c r="J8" i="65"/>
  <c r="J7" i="65"/>
  <c r="J13" i="65"/>
  <c r="H30" i="151"/>
  <c r="H29" i="151"/>
  <c r="H28" i="151"/>
  <c r="H27" i="151"/>
  <c r="H25" i="151"/>
  <c r="H23" i="151"/>
  <c r="H22" i="151"/>
  <c r="H19" i="151"/>
  <c r="H16" i="151"/>
  <c r="H14" i="151"/>
  <c r="H13" i="151"/>
  <c r="H9" i="151"/>
  <c r="H8" i="151"/>
  <c r="H7" i="151"/>
  <c r="H3" i="151"/>
  <c r="H2" i="151"/>
  <c r="M7" i="156"/>
  <c r="M6" i="156"/>
  <c r="M5" i="156"/>
  <c r="M4" i="156"/>
  <c r="M3" i="156"/>
  <c r="L7" i="156"/>
  <c r="L6" i="156"/>
  <c r="L5" i="156"/>
  <c r="L4" i="156"/>
  <c r="L3" i="156"/>
  <c r="J21" i="100" l="1"/>
  <c r="J9" i="116"/>
  <c r="J9" i="136"/>
  <c r="J25" i="116"/>
  <c r="J24" i="116"/>
  <c r="J10" i="116"/>
  <c r="J12" i="116"/>
  <c r="J14" i="102"/>
  <c r="J28" i="100" l="1"/>
  <c r="I5" i="147"/>
  <c r="K18" i="141"/>
  <c r="K9" i="141"/>
  <c r="K8" i="141"/>
  <c r="J24" i="88"/>
  <c r="J11" i="132"/>
  <c r="J6" i="102"/>
  <c r="J8" i="102" l="1"/>
  <c r="J10" i="102"/>
  <c r="J5" i="79"/>
  <c r="J7" i="75"/>
  <c r="I7" i="75"/>
  <c r="H7" i="75"/>
  <c r="H40" i="151"/>
  <c r="G6" i="153"/>
  <c r="H6" i="153"/>
  <c r="J9" i="126"/>
  <c r="J6" i="126"/>
  <c r="J6" i="65"/>
  <c r="J4" i="15" l="1"/>
  <c r="J9" i="85"/>
  <c r="J8" i="77"/>
  <c r="J14" i="74"/>
  <c r="G63" i="151"/>
  <c r="G61" i="151"/>
  <c r="G53" i="151"/>
  <c r="G51" i="151"/>
  <c r="J45" i="151"/>
  <c r="B45" i="151"/>
  <c r="J47" i="151"/>
  <c r="B47" i="151"/>
  <c r="J33" i="151"/>
  <c r="J30" i="69"/>
  <c r="E9" i="117"/>
  <c r="D17" i="117"/>
  <c r="E17" i="117" s="1"/>
  <c r="A17" i="117"/>
  <c r="E49" i="117"/>
  <c r="E39" i="117"/>
  <c r="E32" i="117"/>
  <c r="E28" i="117"/>
  <c r="E20" i="117"/>
  <c r="E12" i="117"/>
  <c r="D39" i="117"/>
  <c r="D32" i="117"/>
  <c r="D28" i="117"/>
  <c r="D20" i="117"/>
  <c r="D12" i="117"/>
  <c r="C39" i="117"/>
  <c r="C32" i="117"/>
  <c r="C28" i="117"/>
  <c r="C20" i="117"/>
  <c r="C12" i="117"/>
  <c r="B32" i="117"/>
  <c r="B28" i="117"/>
  <c r="B20" i="117"/>
  <c r="B12" i="117"/>
  <c r="A39" i="117"/>
  <c r="A32" i="117"/>
  <c r="A28" i="117"/>
  <c r="A20" i="117"/>
  <c r="A12" i="117"/>
  <c r="A36" i="117"/>
  <c r="A35" i="117"/>
  <c r="A34" i="117"/>
  <c r="A33" i="117"/>
  <c r="A29" i="117"/>
  <c r="A25" i="117"/>
  <c r="A24" i="117"/>
  <c r="A23" i="117"/>
  <c r="A22" i="117"/>
  <c r="A21" i="117"/>
  <c r="A16" i="117"/>
  <c r="A15" i="117"/>
  <c r="A14" i="117"/>
  <c r="A13" i="117"/>
  <c r="D34" i="117"/>
  <c r="D23" i="117"/>
  <c r="B36" i="117"/>
  <c r="B35" i="117"/>
  <c r="B34" i="117"/>
  <c r="B25" i="117"/>
  <c r="B24" i="117"/>
  <c r="B23" i="117"/>
  <c r="B22" i="117"/>
  <c r="B16" i="117"/>
  <c r="B15" i="117"/>
  <c r="B14" i="117"/>
  <c r="B8" i="117"/>
  <c r="B7" i="117"/>
  <c r="B6" i="117"/>
  <c r="B5" i="117"/>
  <c r="H18" i="67"/>
  <c r="I18" i="67"/>
  <c r="I6" i="65"/>
  <c r="H6" i="65"/>
  <c r="J4" i="141"/>
  <c r="E34" i="117" l="1"/>
  <c r="J16" i="102"/>
  <c r="J17" i="134"/>
  <c r="J13" i="137"/>
  <c r="J6" i="101"/>
  <c r="J11" i="101"/>
  <c r="J15" i="90"/>
  <c r="J5" i="16"/>
  <c r="J6" i="16"/>
  <c r="J7" i="16"/>
  <c r="J8" i="16"/>
  <c r="J9" i="16"/>
  <c r="J10" i="16"/>
  <c r="J11" i="16"/>
  <c r="J12" i="16"/>
  <c r="J13" i="16"/>
  <c r="J8" i="15"/>
  <c r="J12" i="15" s="1"/>
  <c r="J13" i="83"/>
  <c r="J14" i="85"/>
  <c r="J11" i="86"/>
  <c r="J6" i="88"/>
  <c r="J10" i="88"/>
  <c r="J12" i="88"/>
  <c r="J22" i="88"/>
  <c r="J16" i="79"/>
  <c r="J13" i="80"/>
  <c r="J16" i="75"/>
  <c r="J20" i="77"/>
  <c r="J7" i="74"/>
  <c r="J40" i="74" s="1"/>
  <c r="J18" i="136"/>
  <c r="J12" i="132"/>
  <c r="J14" i="133"/>
  <c r="P4" i="151"/>
  <c r="P5" i="151" s="1"/>
  <c r="P6" i="151" s="1"/>
  <c r="P7" i="151" s="1"/>
  <c r="P8" i="151" s="1"/>
  <c r="P9" i="151" s="1"/>
  <c r="G59" i="151"/>
  <c r="G58" i="151"/>
  <c r="G52" i="151"/>
  <c r="G54" i="151"/>
  <c r="I12" i="147"/>
  <c r="J19" i="140"/>
  <c r="J33" i="125"/>
  <c r="J23" i="126"/>
  <c r="J38" i="69"/>
  <c r="J8" i="112"/>
  <c r="J10" i="122"/>
  <c r="J13" i="123"/>
  <c r="J5" i="116"/>
  <c r="J15" i="116"/>
  <c r="J21" i="116"/>
  <c r="J31" i="100"/>
  <c r="J24" i="95"/>
  <c r="H5" i="67"/>
  <c r="I5" i="67"/>
  <c r="J5" i="67"/>
  <c r="J11" i="67"/>
  <c r="J12" i="67"/>
  <c r="J13" i="67"/>
  <c r="J16" i="67"/>
  <c r="J6" i="113"/>
  <c r="J9" i="113" s="1"/>
  <c r="J9" i="65"/>
  <c r="J10" i="65"/>
  <c r="J21" i="65" s="1"/>
  <c r="J14" i="65"/>
  <c r="K14" i="8"/>
  <c r="L14" i="8"/>
  <c r="J12" i="120"/>
  <c r="K16" i="8" l="1"/>
  <c r="F16" i="105"/>
  <c r="J27" i="88"/>
  <c r="J25" i="67"/>
  <c r="J11" i="64"/>
  <c r="J28" i="116"/>
  <c r="G62" i="151"/>
  <c r="J22" i="132"/>
  <c r="J17" i="16"/>
  <c r="H4" i="151"/>
  <c r="H10" i="151"/>
  <c r="H15" i="151"/>
  <c r="H5" i="151"/>
  <c r="H43" i="151"/>
  <c r="H45" i="151" s="1"/>
  <c r="H24" i="151"/>
  <c r="H12" i="151"/>
  <c r="H11" i="151"/>
  <c r="H17" i="151"/>
  <c r="H21" i="151"/>
  <c r="H20" i="151"/>
  <c r="H18" i="151"/>
  <c r="H26" i="151"/>
  <c r="H6" i="151"/>
  <c r="I5" i="118" l="1"/>
  <c r="J5" i="118" s="1"/>
  <c r="J11" i="118" l="1"/>
  <c r="K5" i="118"/>
  <c r="K11" i="118" s="1"/>
  <c r="F15" i="105" s="1"/>
  <c r="I5" i="120"/>
  <c r="I10" i="88" l="1"/>
  <c r="K36" i="151"/>
  <c r="I5" i="15" l="1"/>
  <c r="I35" i="74"/>
  <c r="I6" i="126"/>
  <c r="I10" i="123"/>
  <c r="I16" i="67"/>
  <c r="I12" i="67"/>
  <c r="I11" i="67"/>
  <c r="I6" i="102"/>
  <c r="I16" i="102" s="1"/>
  <c r="I17" i="134"/>
  <c r="I13" i="137"/>
  <c r="I6" i="101"/>
  <c r="I11" i="101" s="1"/>
  <c r="I9" i="90"/>
  <c r="I15" i="90" s="1"/>
  <c r="I5" i="16" l="1"/>
  <c r="I6" i="16"/>
  <c r="I7" i="16"/>
  <c r="I8" i="16"/>
  <c r="I9" i="16"/>
  <c r="I10" i="16"/>
  <c r="I11" i="16"/>
  <c r="I12" i="16"/>
  <c r="I13" i="16"/>
  <c r="I14" i="16"/>
  <c r="I4" i="15"/>
  <c r="I8" i="15"/>
  <c r="I12" i="15" s="1"/>
  <c r="I13" i="83"/>
  <c r="I9" i="85"/>
  <c r="I14" i="85" s="1"/>
  <c r="I16" i="135"/>
  <c r="I11" i="86"/>
  <c r="I24" i="88"/>
  <c r="I22" i="88"/>
  <c r="I18" i="79"/>
  <c r="I8" i="88"/>
  <c r="I12" i="88"/>
  <c r="I5" i="79"/>
  <c r="I16" i="79"/>
  <c r="I23" i="79" s="1"/>
  <c r="I13" i="80"/>
  <c r="I16" i="75"/>
  <c r="I20" i="77"/>
  <c r="I14" i="74"/>
  <c r="I7" i="74"/>
  <c r="I18" i="136"/>
  <c r="I11" i="132"/>
  <c r="I12" i="132"/>
  <c r="I22" i="132" s="1"/>
  <c r="I14" i="133"/>
  <c r="C3" i="144"/>
  <c r="B3" i="144"/>
  <c r="C22" i="144"/>
  <c r="C21" i="144"/>
  <c r="B22" i="144"/>
  <c r="B21" i="144"/>
  <c r="C9" i="144"/>
  <c r="C8" i="144"/>
  <c r="C7" i="144"/>
  <c r="C6" i="144"/>
  <c r="B9" i="144"/>
  <c r="B8" i="144"/>
  <c r="B7" i="144"/>
  <c r="B6" i="144"/>
  <c r="H21" i="153"/>
  <c r="H20" i="153"/>
  <c r="H5" i="147"/>
  <c r="H12" i="147" s="1"/>
  <c r="I19" i="140"/>
  <c r="I33" i="125"/>
  <c r="I21" i="126"/>
  <c r="I9" i="126"/>
  <c r="I38" i="69"/>
  <c r="I8" i="112"/>
  <c r="I10" i="122"/>
  <c r="I13" i="123"/>
  <c r="I12" i="116"/>
  <c r="I10" i="116"/>
  <c r="I5" i="116"/>
  <c r="I15" i="116"/>
  <c r="I21" i="116"/>
  <c r="I31" i="100"/>
  <c r="I24" i="95"/>
  <c r="I13" i="67"/>
  <c r="I25" i="67" s="1"/>
  <c r="I6" i="113"/>
  <c r="I9" i="113" s="1"/>
  <c r="I13" i="65"/>
  <c r="I10" i="65"/>
  <c r="I9" i="65"/>
  <c r="I14" i="65"/>
  <c r="I7" i="65"/>
  <c r="I21" i="65" s="1"/>
  <c r="I8" i="65"/>
  <c r="I7" i="64"/>
  <c r="I6" i="64"/>
  <c r="I14" i="8"/>
  <c r="I11" i="118"/>
  <c r="I12" i="120"/>
  <c r="J18" i="141"/>
  <c r="J9" i="141"/>
  <c r="J8" i="141"/>
  <c r="J3" i="141"/>
  <c r="I11" i="64" l="1"/>
  <c r="I28" i="116"/>
  <c r="I6" i="115" s="1"/>
  <c r="I23" i="126"/>
  <c r="I40" i="74"/>
  <c r="I17" i="16"/>
  <c r="I27" i="88"/>
  <c r="I4" i="141" l="1"/>
  <c r="H47" i="151" l="1"/>
  <c r="M3" i="155"/>
  <c r="H5" i="120" l="1"/>
  <c r="H5" i="15" l="1"/>
  <c r="H22" i="88"/>
  <c r="H23" i="88"/>
  <c r="H18" i="79"/>
  <c r="H16" i="79"/>
  <c r="H5" i="79"/>
  <c r="H27" i="116"/>
  <c r="H11" i="65"/>
  <c r="H10" i="65"/>
  <c r="H9" i="65"/>
  <c r="H6" i="64"/>
  <c r="H9" i="90" l="1"/>
  <c r="H14" i="16" l="1"/>
  <c r="H8" i="15"/>
  <c r="H24" i="88"/>
  <c r="H12" i="88"/>
  <c r="H10" i="88"/>
  <c r="H19" i="116"/>
  <c r="H17" i="116"/>
  <c r="H12" i="116"/>
  <c r="H10" i="116"/>
  <c r="H5" i="116"/>
  <c r="D7" i="117"/>
  <c r="H22" i="67"/>
  <c r="H16" i="67"/>
  <c r="H16" i="65"/>
  <c r="D35" i="117" l="1"/>
  <c r="D24" i="117"/>
  <c r="H31" i="69"/>
  <c r="H21" i="116"/>
  <c r="H21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6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4" i="85" s="1"/>
  <c r="G16" i="135"/>
  <c r="G11" i="86"/>
  <c r="G12" i="88"/>
  <c r="G10" i="88"/>
  <c r="G6" i="88"/>
  <c r="G18" i="79"/>
  <c r="G16" i="79"/>
  <c r="G5" i="79"/>
  <c r="G23" i="79" s="1"/>
  <c r="G13" i="80"/>
  <c r="G16" i="75"/>
  <c r="G8" i="77"/>
  <c r="G20" i="77" s="1"/>
  <c r="G7" i="74"/>
  <c r="G40" i="74" s="1"/>
  <c r="G18" i="136"/>
  <c r="H17" i="132"/>
  <c r="G17" i="132"/>
  <c r="G12" i="132"/>
  <c r="G11" i="132"/>
  <c r="G9" i="132"/>
  <c r="G7" i="132"/>
  <c r="G14" i="133"/>
  <c r="C23" i="144"/>
  <c r="B23" i="144"/>
  <c r="F21" i="153"/>
  <c r="F20" i="153"/>
  <c r="F9" i="153"/>
  <c r="F6" i="153"/>
  <c r="F27" i="153" s="1"/>
  <c r="F12" i="147"/>
  <c r="G19" i="140"/>
  <c r="G33" i="125"/>
  <c r="G20" i="126"/>
  <c r="G6" i="126"/>
  <c r="G38" i="69"/>
  <c r="G8" i="112"/>
  <c r="G10" i="122"/>
  <c r="G10" i="123"/>
  <c r="G13" i="123" s="1"/>
  <c r="G21" i="116"/>
  <c r="G19" i="116"/>
  <c r="G17" i="116"/>
  <c r="G15" i="116"/>
  <c r="G12" i="116"/>
  <c r="G10" i="116"/>
  <c r="G5" i="116"/>
  <c r="G31" i="100"/>
  <c r="G24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4" i="8"/>
  <c r="G11" i="118"/>
  <c r="G5" i="120"/>
  <c r="G4" i="120"/>
  <c r="H4" i="141"/>
  <c r="H3" i="141"/>
  <c r="G7" i="141"/>
  <c r="H7" i="141" s="1"/>
  <c r="I7" i="141" s="1"/>
  <c r="J7" i="141" s="1"/>
  <c r="L24" i="141" s="1"/>
  <c r="N21" i="141" l="1"/>
  <c r="N19" i="141"/>
  <c r="N17" i="141"/>
  <c r="N15" i="141"/>
  <c r="N12" i="141"/>
  <c r="N16" i="141"/>
  <c r="N13" i="141"/>
  <c r="N11" i="141"/>
  <c r="N9" i="141"/>
  <c r="N20" i="141"/>
  <c r="N4" i="141"/>
  <c r="N7" i="141"/>
  <c r="N3" i="141"/>
  <c r="N8" i="141"/>
  <c r="N18" i="141"/>
  <c r="G12" i="15"/>
  <c r="K24" i="141"/>
  <c r="N10" i="141" s="1"/>
  <c r="J5" i="119"/>
  <c r="J12" i="119" s="1"/>
  <c r="I5" i="119"/>
  <c r="I12" i="119" s="1"/>
  <c r="J24" i="141"/>
  <c r="G12" i="120"/>
  <c r="G25" i="67"/>
  <c r="G28" i="116"/>
  <c r="G6" i="115" s="1"/>
  <c r="G23" i="126"/>
  <c r="G21" i="65"/>
  <c r="G22" i="132"/>
  <c r="G27" i="88"/>
  <c r="G17" i="16"/>
  <c r="G5" i="119"/>
  <c r="G12" i="119" s="1"/>
  <c r="H24" i="141"/>
  <c r="B15" i="144" l="1"/>
  <c r="B16" i="144"/>
  <c r="C20" i="144"/>
  <c r="C19" i="144"/>
  <c r="C18" i="144"/>
  <c r="C17" i="144"/>
  <c r="C16" i="144"/>
  <c r="C15" i="144"/>
  <c r="C14" i="144"/>
  <c r="C13" i="144"/>
  <c r="C12" i="144"/>
  <c r="C11" i="144"/>
  <c r="C5" i="144"/>
  <c r="B20" i="144"/>
  <c r="B19" i="144"/>
  <c r="B18" i="144"/>
  <c r="B17" i="144"/>
  <c r="B14" i="144"/>
  <c r="B13" i="144"/>
  <c r="B12" i="144"/>
  <c r="B11" i="144"/>
  <c r="B5" i="144"/>
  <c r="F13" i="135" l="1"/>
  <c r="G42" i="151"/>
  <c r="G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4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D31" i="155" s="1"/>
  <c r="E31" i="155" s="1"/>
  <c r="F31" i="155" s="1"/>
  <c r="G31" i="155" s="1"/>
  <c r="H31" i="155" s="1"/>
  <c r="I31" i="155" s="1"/>
  <c r="J31" i="155" s="1"/>
  <c r="K31" i="155" s="1"/>
  <c r="L31" i="155" s="1"/>
  <c r="M31" i="155" s="1"/>
  <c r="H11" i="132"/>
  <c r="H12" i="132"/>
  <c r="H7" i="74"/>
  <c r="H8" i="77"/>
  <c r="H4" i="15"/>
  <c r="H9" i="85"/>
  <c r="H13" i="65"/>
  <c r="H21" i="65" s="1"/>
  <c r="F5" i="119"/>
  <c r="F12" i="119" s="1"/>
  <c r="F16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4" i="85" s="1"/>
  <c r="F16" i="135"/>
  <c r="F11" i="86"/>
  <c r="F21" i="88"/>
  <c r="F20" i="88"/>
  <c r="F12" i="88"/>
  <c r="F10" i="88"/>
  <c r="F6" i="88"/>
  <c r="F16" i="79"/>
  <c r="F23" i="79" s="1"/>
  <c r="F13" i="80"/>
  <c r="F16" i="75"/>
  <c r="F8" i="77"/>
  <c r="F20" i="77" s="1"/>
  <c r="F7" i="74"/>
  <c r="F40" i="74" s="1"/>
  <c r="F18" i="136"/>
  <c r="F17" i="132"/>
  <c r="F12" i="132"/>
  <c r="F11" i="132"/>
  <c r="F9" i="132"/>
  <c r="F7" i="132"/>
  <c r="F14" i="133"/>
  <c r="E16" i="153"/>
  <c r="E17" i="153"/>
  <c r="E21" i="153"/>
  <c r="E20" i="153"/>
  <c r="E12" i="147"/>
  <c r="F19" i="140"/>
  <c r="F33" i="125"/>
  <c r="F23" i="126"/>
  <c r="F27" i="69"/>
  <c r="F38" i="69" s="1"/>
  <c r="F8" i="112"/>
  <c r="F10" i="122"/>
  <c r="F13" i="123"/>
  <c r="F19" i="116"/>
  <c r="F17" i="116"/>
  <c r="F15" i="116"/>
  <c r="F12" i="116"/>
  <c r="F10" i="116"/>
  <c r="F5" i="116"/>
  <c r="F26" i="100"/>
  <c r="F25" i="100"/>
  <c r="F24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6" i="64"/>
  <c r="F11" i="64" s="1"/>
  <c r="F9" i="8"/>
  <c r="F8" i="8"/>
  <c r="F11" i="118"/>
  <c r="F5" i="120"/>
  <c r="F12" i="120" s="1"/>
  <c r="G21" i="141"/>
  <c r="G13" i="141"/>
  <c r="G12" i="141"/>
  <c r="G4" i="141"/>
  <c r="D11" i="105"/>
  <c r="D56" i="105" s="1"/>
  <c r="F21" i="65" l="1"/>
  <c r="F25" i="67"/>
  <c r="F14" i="8"/>
  <c r="F31" i="100"/>
  <c r="F22" i="132"/>
  <c r="F12" i="15"/>
  <c r="F17" i="16"/>
  <c r="G24" i="141"/>
  <c r="F28" i="116"/>
  <c r="F27" i="88"/>
  <c r="F12" i="115" l="1"/>
  <c r="G12" i="115"/>
  <c r="H23" i="79"/>
  <c r="D45" i="117"/>
  <c r="G3" i="155" l="1"/>
  <c r="K3" i="155"/>
  <c r="E3" i="155"/>
  <c r="I3" i="155"/>
  <c r="C31" i="151" l="1"/>
  <c r="E31" i="151" s="1"/>
  <c r="I43" i="151"/>
  <c r="C43" i="151" s="1"/>
  <c r="E43" i="151" s="1"/>
  <c r="G43" i="151" s="1"/>
  <c r="K43" i="151" s="1"/>
  <c r="C30" i="151"/>
  <c r="F30" i="151" s="1"/>
  <c r="F31" i="151" l="1"/>
  <c r="G31" i="151" s="1"/>
  <c r="E30" i="151"/>
  <c r="G30" i="151" s="1"/>
  <c r="K30" i="151" s="1"/>
  <c r="C23" i="151"/>
  <c r="C21" i="151"/>
  <c r="C24" i="151"/>
  <c r="C22" i="151"/>
  <c r="C27" i="151"/>
  <c r="C25" i="151"/>
  <c r="C28" i="151"/>
  <c r="F28" i="151" s="1"/>
  <c r="C26" i="151"/>
  <c r="F26" i="151" s="1"/>
  <c r="E28" i="151"/>
  <c r="G28" i="151" s="1"/>
  <c r="K28" i="151" s="1"/>
  <c r="F25" i="151"/>
  <c r="C29" i="151" l="1"/>
  <c r="F29" i="151" s="1"/>
  <c r="C20" i="151"/>
  <c r="F27" i="151"/>
  <c r="E27" i="151"/>
  <c r="F24" i="151"/>
  <c r="E26" i="151"/>
  <c r="G26" i="151" s="1"/>
  <c r="K26" i="151" s="1"/>
  <c r="E25" i="151"/>
  <c r="G25" i="151" s="1"/>
  <c r="K25" i="151" s="1"/>
  <c r="E29" i="151" l="1"/>
  <c r="G27" i="151"/>
  <c r="K27" i="151" s="1"/>
  <c r="G29" i="151"/>
  <c r="K29" i="151" s="1"/>
  <c r="E24" i="151"/>
  <c r="G24" i="151" s="1"/>
  <c r="K24" i="151" s="1"/>
  <c r="P10" i="151"/>
  <c r="P11" i="151" s="1"/>
  <c r="P12" i="151" s="1"/>
  <c r="P13" i="151" s="1"/>
  <c r="P14" i="151" s="1"/>
  <c r="P15" i="151" s="1"/>
  <c r="P16" i="151" l="1"/>
  <c r="P17" i="151" s="1"/>
  <c r="P18" i="151" s="1"/>
  <c r="P19" i="151" s="1"/>
  <c r="P20" i="151" s="1"/>
  <c r="P21" i="151" s="1"/>
  <c r="P22" i="151" s="1"/>
  <c r="I41" i="151"/>
  <c r="C41" i="151" s="1"/>
  <c r="E41" i="151" s="1"/>
  <c r="C16" i="151"/>
  <c r="E22" i="151"/>
  <c r="E23" i="151"/>
  <c r="F22" i="151"/>
  <c r="F23" i="151"/>
  <c r="G23" i="151" l="1"/>
  <c r="K23" i="151" s="1"/>
  <c r="G22" i="151"/>
  <c r="K22" i="151" s="1"/>
  <c r="E9" i="8"/>
  <c r="C19" i="151" l="1"/>
  <c r="C15" i="151"/>
  <c r="E6" i="10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D27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C10" i="151" l="1"/>
  <c r="E10" i="151" s="1"/>
  <c r="C14" i="151"/>
  <c r="F10" i="151"/>
  <c r="G10" i="151" s="1"/>
  <c r="K10" i="151" s="1"/>
  <c r="G21" i="153"/>
  <c r="C13" i="151" l="1"/>
  <c r="C7" i="151"/>
  <c r="F7" i="151" s="1"/>
  <c r="C12" i="151" l="1"/>
  <c r="C11" i="151"/>
  <c r="C9" i="151"/>
  <c r="E7" i="151"/>
  <c r="G7" i="151" s="1"/>
  <c r="K7" i="151" s="1"/>
  <c r="G20" i="153"/>
  <c r="H33" i="125"/>
  <c r="H5" i="119"/>
  <c r="C25" i="67"/>
  <c r="D25" i="67"/>
  <c r="H25" i="67"/>
  <c r="E25" i="67"/>
  <c r="C8" i="151" l="1"/>
  <c r="C6" i="151"/>
  <c r="F6" i="151" s="1"/>
  <c r="C4" i="151"/>
  <c r="E12" i="151"/>
  <c r="F12" i="151"/>
  <c r="C3" i="151"/>
  <c r="F3" i="151" s="1"/>
  <c r="D14" i="117"/>
  <c r="D44" i="117"/>
  <c r="D43" i="117"/>
  <c r="D42" i="117"/>
  <c r="D29" i="117"/>
  <c r="D15" i="117"/>
  <c r="D8" i="117"/>
  <c r="D5" i="117"/>
  <c r="D22" i="117" s="1"/>
  <c r="D4" i="117"/>
  <c r="G12" i="151" l="1"/>
  <c r="D21" i="117"/>
  <c r="D13" i="117"/>
  <c r="D25" i="117"/>
  <c r="D36" i="117"/>
  <c r="E3" i="151"/>
  <c r="G3" i="151" s="1"/>
  <c r="K3" i="151" s="1"/>
  <c r="E6" i="151"/>
  <c r="G6" i="151" s="1"/>
  <c r="K6" i="151" s="1"/>
  <c r="D16" i="117"/>
  <c r="D33" i="117"/>
  <c r="E33" i="117" s="1"/>
  <c r="F7" i="105"/>
  <c r="F11" i="105" s="1"/>
  <c r="E21" i="151"/>
  <c r="E18" i="136"/>
  <c r="D18" i="136"/>
  <c r="C18" i="136"/>
  <c r="D22" i="132"/>
  <c r="C22" i="132"/>
  <c r="E22" i="132"/>
  <c r="I24" i="141"/>
  <c r="F21" i="151" l="1"/>
  <c r="G21" i="151" s="1"/>
  <c r="K21" i="151" s="1"/>
  <c r="E36" i="117"/>
  <c r="E35" i="117"/>
  <c r="E37" i="117" s="1"/>
  <c r="E29" i="117"/>
  <c r="E30" i="117" s="1"/>
  <c r="E25" i="117"/>
  <c r="E23" i="117"/>
  <c r="E22" i="117"/>
  <c r="E21" i="117"/>
  <c r="E16" i="117"/>
  <c r="E15" i="117"/>
  <c r="E14" i="117"/>
  <c r="E13" i="117"/>
  <c r="E8" i="117"/>
  <c r="E7" i="117"/>
  <c r="E4" i="117"/>
  <c r="E5" i="117"/>
  <c r="E6" i="117"/>
  <c r="E18" i="117" l="1"/>
  <c r="E26" i="117"/>
  <c r="E10" i="117"/>
  <c r="C18" i="151"/>
  <c r="F18" i="151" s="1"/>
  <c r="I40" i="151"/>
  <c r="C40" i="151" s="1"/>
  <c r="E40" i="151" s="1"/>
  <c r="G40" i="151" s="1"/>
  <c r="K40" i="151" s="1"/>
  <c r="K18" i="79" s="1"/>
  <c r="K23" i="79" s="1"/>
  <c r="F40" i="105" s="1"/>
  <c r="E18" i="151"/>
  <c r="C45" i="151" l="1"/>
  <c r="I45" i="151"/>
  <c r="G18" i="151"/>
  <c r="K18" i="151" s="1"/>
  <c r="C5" i="151" l="1"/>
  <c r="H27" i="88"/>
  <c r="E14" i="8"/>
  <c r="F5" i="151" l="1"/>
  <c r="E5" i="151"/>
  <c r="H16" i="135"/>
  <c r="C2" i="151" l="1"/>
  <c r="C33" i="151" s="1"/>
  <c r="I47" i="151"/>
  <c r="G5" i="151"/>
  <c r="K5" i="151" s="1"/>
  <c r="E19" i="151"/>
  <c r="E20" i="151"/>
  <c r="E16" i="151"/>
  <c r="F15" i="151"/>
  <c r="F2" i="151" l="1"/>
  <c r="C47" i="151"/>
  <c r="E2" i="151"/>
  <c r="F20" i="151"/>
  <c r="E15" i="151"/>
  <c r="G15" i="151" s="1"/>
  <c r="K15" i="151" s="1"/>
  <c r="F16" i="151"/>
  <c r="G16" i="151" s="1"/>
  <c r="K16" i="151" s="1"/>
  <c r="F19" i="151"/>
  <c r="G19" i="151" s="1"/>
  <c r="K19" i="151" s="1"/>
  <c r="C13" i="137"/>
  <c r="D13" i="137"/>
  <c r="E13" i="137"/>
  <c r="H13" i="137"/>
  <c r="B12" i="137"/>
  <c r="B13" i="137" s="1"/>
  <c r="B15" i="135"/>
  <c r="E41" i="117"/>
  <c r="E42" i="117"/>
  <c r="E43" i="117"/>
  <c r="E44" i="117"/>
  <c r="E45" i="117"/>
  <c r="E46" i="117"/>
  <c r="E47" i="117"/>
  <c r="E48" i="117"/>
  <c r="E40" i="117"/>
  <c r="H16" i="102"/>
  <c r="H17" i="134"/>
  <c r="F14" i="139"/>
  <c r="H11" i="101"/>
  <c r="H15" i="90"/>
  <c r="H17" i="16"/>
  <c r="H12" i="15"/>
  <c r="H13" i="83"/>
  <c r="H14" i="85"/>
  <c r="H11" i="86"/>
  <c r="E50" i="117" l="1"/>
  <c r="E52" i="117" s="1"/>
  <c r="K5" i="115" s="1"/>
  <c r="K12" i="115" s="1"/>
  <c r="F22" i="105" s="1"/>
  <c r="G2" i="151"/>
  <c r="G20" i="151"/>
  <c r="K20" i="151" s="1"/>
  <c r="H13" i="80"/>
  <c r="H16" i="75"/>
  <c r="H20" i="77"/>
  <c r="H40" i="74"/>
  <c r="H18" i="136"/>
  <c r="H22" i="132"/>
  <c r="H14" i="133"/>
  <c r="G12" i="147"/>
  <c r="H19" i="140"/>
  <c r="H23" i="126"/>
  <c r="H38" i="69"/>
  <c r="H8" i="112"/>
  <c r="H10" i="122"/>
  <c r="H13" i="123"/>
  <c r="H28" i="116"/>
  <c r="H6" i="115" s="1"/>
  <c r="H31" i="100"/>
  <c r="H24" i="95"/>
  <c r="H9" i="113"/>
  <c r="H11" i="64"/>
  <c r="E11" i="118"/>
  <c r="E12" i="119"/>
  <c r="E12" i="120"/>
  <c r="F24" i="141"/>
  <c r="G41" i="151"/>
  <c r="K41" i="151" s="1"/>
  <c r="J14" i="153" s="1"/>
  <c r="E23" i="79"/>
  <c r="E13" i="123"/>
  <c r="E38" i="69"/>
  <c r="D38" i="69"/>
  <c r="C38" i="69"/>
  <c r="B38" i="69"/>
  <c r="E11" i="64"/>
  <c r="D11" i="64"/>
  <c r="C11" i="64"/>
  <c r="B11" i="64"/>
  <c r="D12" i="119"/>
  <c r="G56" i="151" l="1"/>
  <c r="C27" i="153"/>
  <c r="B27" i="153"/>
  <c r="D16" i="102"/>
  <c r="C16" i="102"/>
  <c r="B16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4" i="85"/>
  <c r="C14" i="85"/>
  <c r="B14" i="85"/>
  <c r="D16" i="135"/>
  <c r="C16" i="135"/>
  <c r="B16" i="135"/>
  <c r="D11" i="86"/>
  <c r="C11" i="86"/>
  <c r="B11" i="86"/>
  <c r="D27" i="88"/>
  <c r="C27" i="88"/>
  <c r="B27" i="88"/>
  <c r="D23" i="79"/>
  <c r="C23" i="79"/>
  <c r="B23" i="79"/>
  <c r="D13" i="80"/>
  <c r="C13" i="80"/>
  <c r="B13" i="80"/>
  <c r="D16" i="75"/>
  <c r="C16" i="75"/>
  <c r="B16" i="75"/>
  <c r="D20" i="77"/>
  <c r="C20" i="77"/>
  <c r="B20" i="77"/>
  <c r="D40" i="74"/>
  <c r="C40" i="74"/>
  <c r="B40" i="74"/>
  <c r="B18" i="136"/>
  <c r="B22" i="132"/>
  <c r="D14" i="133"/>
  <c r="C14" i="133"/>
  <c r="B14" i="133"/>
  <c r="C12" i="147"/>
  <c r="B12" i="147"/>
  <c r="D19" i="140"/>
  <c r="C19" i="140"/>
  <c r="B19" i="140"/>
  <c r="D33" i="125"/>
  <c r="C33" i="125"/>
  <c r="B33" i="125"/>
  <c r="D23" i="126"/>
  <c r="C23" i="126"/>
  <c r="B23" i="126"/>
  <c r="D8" i="112"/>
  <c r="C8" i="112"/>
  <c r="B8" i="112"/>
  <c r="D10" i="122"/>
  <c r="C10" i="122"/>
  <c r="B10" i="122"/>
  <c r="D13" i="123"/>
  <c r="C13" i="123"/>
  <c r="B13" i="123"/>
  <c r="D28" i="116"/>
  <c r="D6" i="115" s="1"/>
  <c r="C28" i="116"/>
  <c r="C6" i="115" s="1"/>
  <c r="C12" i="115" s="1"/>
  <c r="B28" i="116"/>
  <c r="B12" i="115"/>
  <c r="D31" i="100"/>
  <c r="C31" i="100"/>
  <c r="B31" i="100"/>
  <c r="D24" i="95"/>
  <c r="C24" i="95"/>
  <c r="B24" i="95"/>
  <c r="B25" i="67"/>
  <c r="D9" i="113"/>
  <c r="C9" i="113"/>
  <c r="B9" i="113"/>
  <c r="D21" i="65"/>
  <c r="C21" i="65"/>
  <c r="B21" i="65"/>
  <c r="C14" i="8" l="1"/>
  <c r="B14" i="8"/>
  <c r="D11" i="118"/>
  <c r="C11" i="118"/>
  <c r="B11" i="118"/>
  <c r="C12" i="119"/>
  <c r="B12" i="119"/>
  <c r="H12" i="120"/>
  <c r="D12" i="120"/>
  <c r="C12" i="120"/>
  <c r="B12" i="120"/>
  <c r="E14" i="139" l="1"/>
  <c r="E14" i="85"/>
  <c r="E16" i="135"/>
  <c r="E11" i="86"/>
  <c r="E27" i="88"/>
  <c r="E40" i="74"/>
  <c r="E19" i="140"/>
  <c r="H12" i="119"/>
  <c r="K42" i="151" l="1"/>
  <c r="K45" i="151" s="1"/>
  <c r="K2" i="151"/>
  <c r="E45" i="151"/>
  <c r="F13" i="151"/>
  <c r="F14" i="151"/>
  <c r="F11" i="151"/>
  <c r="F9" i="151"/>
  <c r="F8" i="151"/>
  <c r="F4" i="151"/>
  <c r="F17" i="151"/>
  <c r="F33" i="151" l="1"/>
  <c r="E17" i="151"/>
  <c r="E4" i="151"/>
  <c r="E8" i="151"/>
  <c r="G8" i="151" s="1"/>
  <c r="K8" i="151" s="1"/>
  <c r="E9" i="151"/>
  <c r="G9" i="151" s="1"/>
  <c r="K9" i="151" s="1"/>
  <c r="E11" i="151"/>
  <c r="G11" i="151" s="1"/>
  <c r="K11" i="151" s="1"/>
  <c r="E14" i="151"/>
  <c r="G14" i="151" s="1"/>
  <c r="K14" i="151" s="1"/>
  <c r="E13" i="151"/>
  <c r="G13" i="151" s="1"/>
  <c r="K13" i="151" s="1"/>
  <c r="K12" i="151"/>
  <c r="G17" i="151" l="1"/>
  <c r="E33" i="151"/>
  <c r="E47" i="151"/>
  <c r="G45" i="151"/>
  <c r="K31" i="151"/>
  <c r="J23" i="79"/>
  <c r="G4" i="151"/>
  <c r="K17" i="151" l="1"/>
  <c r="G33" i="151"/>
  <c r="G47" i="151"/>
  <c r="K4" i="151"/>
  <c r="K33" i="151" l="1"/>
  <c r="K37" i="151" s="1"/>
  <c r="G55" i="151"/>
  <c r="G50" i="151"/>
  <c r="D24" i="141"/>
  <c r="J13" i="153" l="1"/>
  <c r="K13" i="153" s="1"/>
  <c r="K47" i="151"/>
  <c r="J4" i="153" s="1"/>
  <c r="E16" i="102"/>
  <c r="E11" i="101"/>
  <c r="G64" i="151" l="1"/>
  <c r="J24" i="153" s="1"/>
  <c r="J27" i="153" s="1"/>
  <c r="F31" i="105" s="1"/>
  <c r="F32" i="105"/>
  <c r="H27" i="153"/>
  <c r="G27" i="153"/>
  <c r="E16" i="75"/>
  <c r="E14" i="133"/>
  <c r="F53" i="105" l="1"/>
  <c r="E33" i="125"/>
  <c r="E23" i="126"/>
  <c r="E31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H37" i="128" s="1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E37" i="128" l="1"/>
  <c r="I22" i="128"/>
  <c r="E8" i="112" l="1"/>
  <c r="H14" i="8"/>
  <c r="D14" i="8"/>
  <c r="D12" i="147" l="1"/>
  <c r="E10" i="122"/>
  <c r="E28" i="116"/>
  <c r="E24" i="95"/>
  <c r="E9" i="113"/>
  <c r="E21" i="65"/>
  <c r="H11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I12" i="115" l="1"/>
  <c r="J12" i="115"/>
  <c r="E12" i="115"/>
  <c r="H12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C37" i="128" l="1"/>
  <c r="C38" i="128" s="1"/>
  <c r="I37" i="128"/>
  <c r="G65" i="151" l="1"/>
  <c r="G66" i="151" s="1"/>
  <c r="E15" i="153"/>
  <c r="E27" i="153" s="1"/>
  <c r="I27" i="153"/>
  <c r="F56" i="105" l="1"/>
</calcChain>
</file>

<file path=xl/sharedStrings.xml><?xml version="1.0" encoding="utf-8"?>
<sst xmlns="http://schemas.openxmlformats.org/spreadsheetml/2006/main" count="1159" uniqueCount="863">
  <si>
    <t>Anti-virus annual renewal - Trend Micro</t>
  </si>
  <si>
    <t>Class B Foam (32, 5 gall @ 70)</t>
  </si>
  <si>
    <t>HazMat equipment and supplies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</si>
  <si>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</si>
  <si>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</si>
  <si>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</si>
  <si>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</si>
  <si>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</si>
  <si>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</si>
  <si>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</si>
  <si>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</si>
  <si>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</si>
  <si>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</si>
  <si>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</si>
  <si>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</si>
  <si>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</si>
  <si>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</si>
  <si>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</si>
  <si>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</si>
  <si>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</si>
  <si>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</si>
  <si>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</si>
  <si>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</si>
  <si>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</si>
  <si>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</si>
  <si>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</si>
  <si>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</si>
  <si>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</si>
  <si>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</si>
  <si>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</si>
  <si>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</si>
  <si>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</si>
  <si>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</si>
  <si>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</si>
  <si>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</si>
  <si>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</si>
  <si>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</si>
  <si>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</si>
  <si>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</si>
  <si>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</si>
  <si>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</si>
  <si>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</si>
  <si>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</si>
  <si>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</si>
  <si>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</si>
  <si>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</si>
  <si>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</si>
  <si>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</si>
  <si>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</si>
  <si>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</si>
  <si>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</si>
  <si>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</si>
  <si>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</si>
  <si>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</si>
  <si>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</si>
  <si>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</si>
  <si>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</si>
  <si>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</si>
  <si>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</si>
  <si>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</si>
  <si>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</si>
  <si>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</si>
  <si>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</si>
  <si>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</si>
  <si>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</si>
  <si>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</si>
  <si>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</si>
  <si>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</si>
  <si>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</si>
  <si>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</si>
  <si>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</si>
  <si>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</si>
  <si>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</si>
  <si>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</si>
  <si>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</si>
  <si>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</si>
  <si>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</si>
  <si>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</si>
  <si>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</si>
  <si>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</si>
  <si>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</si>
  <si>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</si>
  <si>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</si>
  <si>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</si>
  <si>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</si>
  <si>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</si>
  <si>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</si>
  <si>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</si>
  <si>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</si>
  <si>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</si>
  <si>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</si>
  <si>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</si>
  <si>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</si>
  <si>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</si>
  <si>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</si>
  <si>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</si>
  <si>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</si>
  <si>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Replacement of Air Packs (incremental)</t>
  </si>
  <si>
    <t>Smoke Machine fluid</t>
  </si>
  <si>
    <t>Miscellaneous job postings</t>
  </si>
  <si>
    <t xml:space="preserve">Stickers with Fire Department Logo 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</si>
  <si>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</si>
  <si>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</si>
  <si>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</si>
  <si>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</si>
  <si>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</si>
  <si>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</si>
  <si>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</si>
  <si>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</si>
  <si>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</si>
  <si>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</si>
  <si>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</si>
  <si>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</si>
  <si>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</si>
  <si>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</si>
  <si>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</si>
  <si>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</si>
  <si>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</si>
  <si>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</si>
  <si>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</si>
  <si>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</si>
  <si>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</si>
  <si>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</si>
  <si>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</si>
  <si>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</si>
  <si>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</si>
  <si>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Quantity</t>
  </si>
  <si>
    <t xml:space="preserve">Cost </t>
  </si>
  <si>
    <t>Total</t>
  </si>
  <si>
    <t>Nomex Shirt</t>
  </si>
  <si>
    <t>Nomex Pants</t>
  </si>
  <si>
    <t>PART-TIME FIGHTER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</si>
  <si>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</si>
  <si>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</si>
  <si>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</si>
  <si>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</si>
  <si>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</si>
  <si>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</si>
  <si>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</si>
  <si>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</si>
  <si>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</si>
  <si>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</si>
  <si>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</si>
  <si>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</si>
  <si>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</si>
  <si>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</si>
  <si>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</si>
  <si>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</si>
  <si>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</si>
  <si>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</si>
  <si>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</si>
  <si>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</si>
  <si>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</si>
  <si>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</si>
  <si>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</si>
  <si>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</si>
  <si>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</si>
  <si>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</si>
  <si>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</si>
  <si>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</si>
  <si>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</si>
  <si>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</si>
  <si>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</si>
  <si>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</si>
  <si>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</si>
  <si>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</si>
  <si>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</si>
  <si>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</si>
  <si>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</si>
  <si>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</si>
  <si>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</si>
  <si>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</si>
  <si>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</si>
  <si>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</si>
  <si>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</si>
  <si>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</si>
  <si>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</si>
  <si>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</si>
  <si>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</si>
  <si>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</si>
  <si>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</si>
  <si>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</si>
  <si>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</si>
  <si>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</si>
  <si>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</si>
  <si>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</si>
  <si>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</si>
  <si>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</si>
  <si>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</si>
  <si>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</si>
  <si>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</si>
  <si>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</si>
  <si>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</si>
  <si>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</si>
  <si>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</si>
  <si>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</si>
  <si>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</si>
  <si>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</si>
  <si>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</si>
  <si>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</si>
  <si>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</si>
  <si>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</si>
  <si>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</si>
  <si>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</si>
  <si>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</si>
  <si>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</si>
  <si>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</si>
  <si>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</si>
  <si>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</si>
  <si>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</si>
  <si>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</si>
  <si>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</si>
  <si>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</si>
  <si>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</si>
  <si>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</si>
  <si>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</si>
  <si>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</si>
  <si>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</si>
  <si>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</si>
  <si>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</si>
  <si>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</si>
  <si>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</si>
  <si>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</si>
  <si>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</si>
  <si>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</si>
  <si>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</si>
  <si>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</si>
  <si>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</si>
  <si>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</si>
  <si>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</si>
  <si>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</si>
  <si>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</si>
  <si>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</si>
  <si>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</si>
  <si>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</si>
  <si>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</si>
  <si>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</si>
  <si>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</si>
  <si>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</si>
  <si>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</si>
  <si>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</si>
  <si>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</si>
  <si>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</si>
  <si>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</si>
  <si>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</si>
  <si>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</si>
  <si>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</si>
  <si>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</si>
  <si>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</si>
  <si>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</si>
  <si>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</si>
  <si>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</si>
  <si>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</si>
  <si>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</si>
  <si>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</si>
  <si>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</si>
  <si>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</si>
  <si>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</si>
  <si>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</si>
  <si>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</si>
  <si>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</si>
  <si>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</si>
  <si>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</si>
  <si>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</si>
  <si>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</si>
  <si>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</si>
  <si>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</si>
  <si>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</si>
  <si>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</si>
  <si>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</si>
  <si>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</si>
  <si>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</si>
  <si>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</si>
  <si>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</si>
  <si>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</si>
  <si>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</si>
  <si>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</si>
  <si>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</si>
  <si>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</si>
  <si>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</si>
  <si>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</si>
  <si>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</si>
  <si>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</si>
  <si>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</si>
  <si>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PHTLS/ITLAS class</t>
  </si>
  <si>
    <t>EMS Conference</t>
  </si>
  <si>
    <t>DSHS First Responder Organization</t>
  </si>
  <si>
    <t>Replacement flags</t>
  </si>
  <si>
    <t>Safe-D Association</t>
  </si>
  <si>
    <t>Repairs; troubleshoot</t>
  </si>
  <si>
    <t>Annual Report</t>
  </si>
  <si>
    <t>off prob</t>
  </si>
  <si>
    <t>new hire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</si>
  <si>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</si>
  <si>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</si>
  <si>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</si>
  <si>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</si>
  <si>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</si>
  <si>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</si>
  <si>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</si>
  <si>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Inspection / Investigation equipment</t>
  </si>
  <si>
    <t xml:space="preserve"> FT hire date</t>
  </si>
  <si>
    <t>DC Training</t>
  </si>
  <si>
    <t>Accident and normal death: $25,000 (VFIS)  FT Paid</t>
  </si>
  <si>
    <t xml:space="preserve">CD Environmental deposit 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</si>
  <si>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</si>
  <si>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</si>
  <si>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</si>
  <si>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</si>
  <si>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</si>
  <si>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</si>
  <si>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</si>
  <si>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</si>
  <si>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</si>
  <si>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</si>
  <si>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</si>
  <si>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</si>
  <si>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</si>
  <si>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</si>
  <si>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</si>
  <si>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</si>
  <si>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</si>
  <si>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</si>
  <si>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</si>
  <si>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</si>
  <si>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</si>
  <si>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</si>
  <si>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</si>
  <si>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</si>
  <si>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</si>
  <si>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</si>
  <si>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</si>
  <si>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</si>
  <si>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</si>
  <si>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</si>
  <si>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</si>
  <si>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</si>
  <si>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</si>
  <si>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</si>
  <si>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</si>
  <si>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</si>
  <si>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</si>
  <si>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</si>
  <si>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</si>
  <si>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</si>
  <si>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</si>
  <si>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</si>
  <si>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</si>
  <si>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</si>
  <si>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</si>
  <si>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</si>
  <si>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</si>
  <si>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</si>
  <si>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</si>
  <si>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</si>
  <si>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</si>
  <si>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</si>
  <si>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</si>
  <si>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</si>
  <si>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</si>
  <si>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</si>
  <si>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</si>
  <si>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</si>
  <si>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</si>
  <si>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</si>
  <si>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</si>
  <si>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</si>
  <si>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</si>
  <si>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</si>
  <si>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</si>
  <si>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</si>
  <si>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Longevity</t>
  </si>
  <si>
    <t xml:space="preserve">Based on recent usage </t>
  </si>
  <si>
    <t xml:space="preserve">Instructor Pay </t>
  </si>
  <si>
    <t>Workers Comp - admin</t>
  </si>
  <si>
    <t>Workers Comp - instructors</t>
  </si>
  <si>
    <t>Red font:  do not participate in 457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</si>
  <si>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</si>
  <si>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</si>
  <si>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</si>
  <si>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</si>
  <si>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</si>
  <si>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</si>
  <si>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Locution Station Alerting License &amp; Hardware maint.</t>
  </si>
  <si>
    <t>Sweatshirts</t>
  </si>
  <si>
    <t>Department team-sponsorship</t>
  </si>
  <si>
    <t>Septic inspection and maintenance CD</t>
  </si>
  <si>
    <t>AC filter grates for CD</t>
  </si>
  <si>
    <t>painting drill tower exterior handrails</t>
  </si>
  <si>
    <t>Revenue Rescue (&amp; other billing)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</si>
  <si>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</si>
  <si>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</si>
  <si>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</si>
  <si>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</si>
  <si>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</si>
  <si>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</si>
  <si>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</si>
  <si>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</si>
  <si>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</si>
  <si>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</si>
  <si>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 xml:space="preserve">Estimate of part time </t>
  </si>
  <si>
    <t>per hour pay</t>
  </si>
  <si>
    <t>years</t>
  </si>
  <si>
    <t>Rate, experience modifier, discount</t>
  </si>
  <si>
    <t>do not change figures - they will change with payroll figures</t>
  </si>
  <si>
    <t>Texas SUI  @ $56.7 x 32+ allowance $2,186 for PT</t>
  </si>
  <si>
    <t>figure will auto change with payroll</t>
  </si>
  <si>
    <t>DSHS EMS Coordinator</t>
  </si>
  <si>
    <t>JW</t>
  </si>
  <si>
    <t>Misc. grant matching (LCRA/PEC, Motorola, etc.)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</si>
  <si>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</si>
  <si>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</si>
  <si>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</si>
  <si>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</si>
  <si>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</si>
  <si>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</si>
  <si>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</si>
  <si>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</si>
  <si>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</si>
  <si>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</si>
  <si>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</si>
  <si>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</si>
  <si>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Structural Boots</t>
  </si>
  <si>
    <t>Structural Turnout Coats</t>
  </si>
  <si>
    <t>Structural Turnout Pants</t>
  </si>
  <si>
    <t>Wildland Goggles</t>
  </si>
  <si>
    <t>Wildland Helmets</t>
  </si>
  <si>
    <t>Wildland Shelters</t>
  </si>
  <si>
    <t>Wildland Turnout Coats</t>
  </si>
  <si>
    <t>Wildland Turnout Pants</t>
  </si>
  <si>
    <t>Traffic Vests</t>
  </si>
  <si>
    <t>Based on recent usage</t>
  </si>
  <si>
    <t>SF, SB, RB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</si>
  <si>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</si>
  <si>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</si>
  <si>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</si>
  <si>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</si>
  <si>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</si>
  <si>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</si>
  <si>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</si>
  <si>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Cell phones</t>
  </si>
  <si>
    <t>Fire Sprinkler Annual Inspection</t>
  </si>
  <si>
    <t>incl</t>
  </si>
  <si>
    <t>Fire Alarm monitoring</t>
  </si>
  <si>
    <t>Records Management System expansion</t>
  </si>
  <si>
    <t>SOURCE OF REVENUE</t>
  </si>
  <si>
    <t>REVENUE</t>
  </si>
  <si>
    <t>Cert</t>
  </si>
  <si>
    <t>Long</t>
  </si>
  <si>
    <t>Wellness Program (Physicals &amp; Workout Equipment)</t>
  </si>
  <si>
    <t>moved to Office Supplies</t>
  </si>
  <si>
    <t>Assorted general supplies (Home Depot, Lowes)</t>
  </si>
  <si>
    <t>Vacuum cleaners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</si>
  <si>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</si>
  <si>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</si>
  <si>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</si>
  <si>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</si>
  <si>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</si>
  <si>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</si>
  <si>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</si>
  <si>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</si>
  <si>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</si>
  <si>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</si>
  <si>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</si>
  <si>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</si>
  <si>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</si>
  <si>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</si>
  <si>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</si>
  <si>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</si>
  <si>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</si>
  <si>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</si>
  <si>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</si>
  <si>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</si>
  <si>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</si>
  <si>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</si>
  <si>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</si>
  <si>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</si>
  <si>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</si>
  <si>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</si>
  <si>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</si>
  <si>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</si>
  <si>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</si>
  <si>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</si>
  <si>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See Tech Res</t>
  </si>
  <si>
    <t>EMS Continuing Education</t>
  </si>
  <si>
    <t>See EMS CE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</si>
  <si>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</si>
  <si>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</si>
  <si>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</si>
  <si>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</si>
  <si>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</si>
  <si>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</si>
  <si>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</si>
  <si>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</si>
  <si>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</si>
  <si>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</si>
  <si>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</si>
  <si>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</si>
  <si>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</si>
  <si>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</si>
  <si>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</si>
  <si>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</si>
  <si>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</si>
  <si>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</si>
  <si>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</si>
  <si>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</si>
  <si>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</si>
  <si>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</si>
  <si>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</si>
  <si>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</si>
  <si>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E-mail hosting</t>
  </si>
  <si>
    <t>Heat - Barton Creek - Natural Gas</t>
  </si>
  <si>
    <t>Open House supplies</t>
  </si>
  <si>
    <t>US Bank - copiers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</si>
  <si>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</si>
  <si>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</si>
  <si>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</si>
  <si>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</si>
  <si>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</si>
  <si>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</si>
  <si>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</si>
  <si>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</si>
  <si>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</si>
  <si>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</si>
  <si>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</si>
  <si>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</si>
  <si>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</si>
  <si>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</si>
  <si>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Highrise Conference</t>
  </si>
  <si>
    <t>Station 301 kitchen remodel</t>
  </si>
  <si>
    <t>Folding Water Tank</t>
  </si>
  <si>
    <t>PPE</t>
  </si>
  <si>
    <t>TIFMAS Symposium</t>
  </si>
  <si>
    <t>Elected Official Bond (Treasurer)</t>
  </si>
  <si>
    <t>Rescue / Extrication Gloves</t>
  </si>
  <si>
    <t>Fire Sprinkler System Expansion</t>
  </si>
  <si>
    <t>General Supplies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</si>
  <si>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</si>
  <si>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</si>
  <si>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</si>
  <si>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</si>
  <si>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</si>
  <si>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</si>
  <si>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</si>
  <si>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</si>
  <si>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</si>
  <si>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</si>
  <si>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</si>
  <si>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increase</t>
  </si>
  <si>
    <t>Vending machines</t>
  </si>
  <si>
    <t>BENEFITS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</si>
  <si>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</si>
  <si>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</si>
  <si>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</si>
  <si>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</si>
  <si>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</si>
  <si>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</si>
  <si>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</si>
  <si>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</si>
  <si>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</si>
  <si>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</si>
  <si>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</si>
  <si>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</si>
  <si>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</si>
  <si>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</si>
  <si>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</si>
  <si>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</si>
  <si>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</si>
  <si>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Fire Department Instructors' Conference (FDIC)</t>
  </si>
  <si>
    <t>T-Shirt</t>
  </si>
  <si>
    <t>Scott SCBA Mask with embedded TIC</t>
  </si>
  <si>
    <t>Building &amp; Props Refurbishment</t>
  </si>
  <si>
    <t>Modify TIFMAS Vehicle (brackets, etc.)</t>
  </si>
  <si>
    <t>Fire Hose Tester (pump)</t>
  </si>
  <si>
    <t>Motorola APX Multi-Band Portable Radios</t>
  </si>
  <si>
    <t>Administration fees - bond debt - Wells Fargo</t>
  </si>
  <si>
    <t>Audit - CPA</t>
  </si>
  <si>
    <t>APX Mobile Radios (New ENG301, QNT302)</t>
  </si>
  <si>
    <t>Hourly Rate</t>
  </si>
  <si>
    <t>FF 2018</t>
  </si>
  <si>
    <t>DO 2018</t>
  </si>
  <si>
    <t>LT 2018</t>
  </si>
  <si>
    <t>CAP 2018</t>
  </si>
  <si>
    <t>EMS Field Training Officer</t>
  </si>
  <si>
    <t>RH</t>
  </si>
  <si>
    <t>* lease completed March 2nd 2016</t>
  </si>
  <si>
    <t>** lease paid off early July 2016</t>
  </si>
  <si>
    <t>MDC Replacement (older units)</t>
  </si>
  <si>
    <t>Active 911 Alerting System</t>
  </si>
  <si>
    <t>LODD Conference (online streaming)</t>
  </si>
  <si>
    <t>Website design &amp; maintenance</t>
  </si>
  <si>
    <t>CrewSense Online Scheduling System</t>
  </si>
  <si>
    <t>Email Spam Filter (Barracuda Essentials)</t>
  </si>
  <si>
    <t>Mobile Radios (Remaining Truck Replacements)</t>
  </si>
  <si>
    <t>TFCA Fire Chiefs Workshop</t>
  </si>
  <si>
    <t>Warehouse Club memberships</t>
  </si>
  <si>
    <t>TecGen Response Clothing</t>
  </si>
  <si>
    <t>Forcible Entry Prop</t>
  </si>
  <si>
    <t>Cascade System for ST302</t>
  </si>
  <si>
    <t>Apparatus Fire Extinguishers</t>
  </si>
  <si>
    <t>Replace manifold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</si>
  <si>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</si>
  <si>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</si>
  <si>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</si>
  <si>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</si>
  <si>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</si>
  <si>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Legal consultants - KC, JO</t>
  </si>
  <si>
    <t>457 (b) Plan - full time employees only 14% (2:1)</t>
  </si>
  <si>
    <t>50th Anniversary Items</t>
  </si>
  <si>
    <t>Automated External Defibrillators</t>
  </si>
  <si>
    <t>Outdoor Dual-Sided Electronic Sign for Station 301</t>
  </si>
  <si>
    <t>Bat Chief</t>
  </si>
  <si>
    <t>BC 2018</t>
  </si>
  <si>
    <t>Revenue to Expense Difference</t>
  </si>
  <si>
    <t>5 Commissioners + JW</t>
  </si>
  <si>
    <t>PPE - boots</t>
  </si>
  <si>
    <t>Short term disability for 33 FT Paid (Colonial)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</si>
  <si>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</si>
  <si>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</si>
  <si>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</si>
  <si>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</si>
  <si>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</si>
  <si>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</si>
  <si>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</si>
  <si>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</si>
  <si>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</si>
  <si>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</si>
  <si>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</si>
  <si>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</si>
  <si>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</si>
  <si>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</si>
  <si>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Approx. Based on current year instructor use; $25 Adjunct; $35 Lead</t>
  </si>
  <si>
    <t>Rescue Tech V</t>
  </si>
  <si>
    <t>National Registry Recertifications</t>
  </si>
  <si>
    <t>Rehab</t>
  </si>
  <si>
    <t>Exterior Station and Building Painting</t>
  </si>
  <si>
    <t>Copy Machines - 1 per station</t>
  </si>
  <si>
    <t>Quickbooks Checks  (1000)</t>
  </si>
  <si>
    <t>RH &amp; JS</t>
  </si>
  <si>
    <t>Patient Care Records Management System</t>
  </si>
  <si>
    <t>Fire Incident Records Management System</t>
  </si>
  <si>
    <t>Replacement Monitors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</si>
  <si>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</si>
  <si>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</si>
  <si>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</si>
  <si>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</si>
  <si>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</si>
  <si>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Class A Foam - 2 x 55 gallon drums</t>
  </si>
  <si>
    <t>Equipment - Breathing air cylinder hydrostatic testing (40 units)</t>
  </si>
  <si>
    <t>Instructor Shirts</t>
  </si>
  <si>
    <t>Roof Covering for Station 301 Deck</t>
  </si>
  <si>
    <t>Construct Gear Storage Rooms at Staiton 301</t>
  </si>
  <si>
    <t>Replace Gear Washer at Station 302 and move to Station 301</t>
  </si>
  <si>
    <t>% of Revenue</t>
  </si>
  <si>
    <t>JW, BCs, JS, HH</t>
  </si>
  <si>
    <t>NFPA Online (subscription)</t>
  </si>
  <si>
    <t>COA Barton Springs Zone Permit (Station 301)</t>
  </si>
  <si>
    <t>Rescue Tech IV</t>
  </si>
  <si>
    <t>Quarterly Air Tests (4 @ $300)</t>
  </si>
  <si>
    <t>Annual SCBA Flow Test (32 @ $44)</t>
  </si>
  <si>
    <t>SCBA Mask Fit Test (35 @ $30)</t>
  </si>
  <si>
    <t>Scott SCBA masks (4 @ $275)</t>
  </si>
  <si>
    <t>Cylinder Hydro (25 @ $35)</t>
  </si>
  <si>
    <t>Workers Com - Instructors</t>
  </si>
  <si>
    <t>Workers Comp - Commissioners</t>
  </si>
  <si>
    <t>FF 2020</t>
  </si>
  <si>
    <t>DO 2020</t>
  </si>
  <si>
    <t>LT 2020</t>
  </si>
  <si>
    <t>CAP 2020</t>
  </si>
  <si>
    <t>BC 2020</t>
  </si>
  <si>
    <t>Chiefs</t>
  </si>
  <si>
    <t>Community Event Mailer, twice per year</t>
  </si>
  <si>
    <t>Heat &amp; Drill Field - Circle Drive - Propane</t>
  </si>
  <si>
    <t>Wireless Access for MDC's @ $40 per truck per month</t>
  </si>
  <si>
    <t>SCBA replacement bottles @ $1,000 each</t>
  </si>
  <si>
    <t>Golf Shirt</t>
  </si>
  <si>
    <t>Personnel</t>
  </si>
  <si>
    <t>Workout Shirts</t>
  </si>
  <si>
    <t>Uniform Shorts</t>
  </si>
  <si>
    <t>Wildland Gloves</t>
  </si>
  <si>
    <t>Accountability Tags</t>
  </si>
  <si>
    <t>Structural Helmet Face Shields</t>
  </si>
  <si>
    <t>Structural Helmets with Leather Fronts</t>
  </si>
  <si>
    <t>Structural Nomex Hoods</t>
  </si>
  <si>
    <t>Structural Gloves</t>
  </si>
  <si>
    <t>Structural Turnout Suspenders</t>
  </si>
  <si>
    <t>ILS Kits (includes Bags &amp; Assorted Supplies)</t>
  </si>
  <si>
    <t>Trauma Supplies</t>
  </si>
  <si>
    <t>Food and Refreshment</t>
  </si>
  <si>
    <t>Department Response Vehicles</t>
  </si>
  <si>
    <t>Training Field Consumable Materials &amp; Supplies</t>
  </si>
  <si>
    <t>Blue Card Command Training (Drivers, Officers, Chiefs) Class &amp; Labs</t>
  </si>
  <si>
    <t>Pump Simulator (shared with neighboring ESDs)</t>
  </si>
  <si>
    <t>Meeting Supplies - Officers, Admin, Commissioners, etc.</t>
  </si>
  <si>
    <t>TCFP Certification Classes (Instructor, Officer, Driver/Operator, etc.)</t>
  </si>
  <si>
    <t>AED Supplies - Batteries, Pads, Razors, Memory Sticks, etc.</t>
  </si>
  <si>
    <t>BP Cuffs, Splints, Stethoscopes, etc.</t>
  </si>
  <si>
    <t>Misc. Supplies - Penlights, Scissors, etc.</t>
  </si>
  <si>
    <r>
      <t xml:space="preserve">Health Ins. - full time only - </t>
    </r>
    <r>
      <rPr>
        <sz val="9"/>
        <rFont val="Arial Narrow"/>
        <family val="2"/>
      </rPr>
      <t>33 employees</t>
    </r>
    <r>
      <rPr>
        <sz val="8"/>
        <rFont val="Arial Narrow"/>
        <family val="2"/>
      </rPr>
      <t xml:space="preserve"> (includes reimbursement from employees)</t>
    </r>
  </si>
  <si>
    <t>Officer/Commissioner Meetings</t>
  </si>
  <si>
    <t>Drivers' License Renewals</t>
  </si>
  <si>
    <t>DSHS CE Issuing Organization License</t>
  </si>
  <si>
    <t>TCFP Facility Certifications</t>
  </si>
  <si>
    <t>Scout Project Support for Facilities &amp; Grounds Improvements</t>
  </si>
  <si>
    <t>Miscellaneous (Notary, etc.)</t>
  </si>
  <si>
    <t>National Assoc. of EMS Educators (NAEMSE)</t>
  </si>
  <si>
    <t>Trunked Radio User Fee @ $29.61 per radio per month</t>
  </si>
  <si>
    <t>New Apparatus Equipment (Misc Tools &amp; Equipment)</t>
  </si>
  <si>
    <t>Air Filters at both stations</t>
  </si>
  <si>
    <t>Semi-Annual Newsletter</t>
  </si>
  <si>
    <t>Radio/MDC Repairs ($78.92/hr)</t>
  </si>
  <si>
    <t>TCFP Annual Certifications  (35 @ $75)</t>
  </si>
  <si>
    <t>Replace Knox Key Retention Devices</t>
  </si>
  <si>
    <t>Deployment cots/hammocks</t>
  </si>
  <si>
    <t>Deployment sleeping pads</t>
  </si>
  <si>
    <t>ESD3 Hosted Training Classes (Nozzle Forward, etc.)</t>
  </si>
  <si>
    <t>General Rescuer</t>
  </si>
  <si>
    <t>Ropes 1 &amp;2</t>
  </si>
  <si>
    <t>Swift Water</t>
  </si>
  <si>
    <t>Confined Space</t>
  </si>
  <si>
    <t>Vehicle Rescue Tech</t>
  </si>
  <si>
    <t>Barfield</t>
  </si>
  <si>
    <t>x</t>
  </si>
  <si>
    <t>Beard</t>
  </si>
  <si>
    <t>Bergman</t>
  </si>
  <si>
    <t>Bowen</t>
  </si>
  <si>
    <t>Caudle</t>
  </si>
  <si>
    <t>Davis</t>
  </si>
  <si>
    <t>Dawson</t>
  </si>
  <si>
    <t>Denner</t>
  </si>
  <si>
    <t>Elkins</t>
  </si>
  <si>
    <t>Ford</t>
  </si>
  <si>
    <t>Gay</t>
  </si>
  <si>
    <t>Grieser</t>
  </si>
  <si>
    <t>Hartigan</t>
  </si>
  <si>
    <t>Hensley</t>
  </si>
  <si>
    <t>Hester</t>
  </si>
  <si>
    <t>Hoffman</t>
  </si>
  <si>
    <t>Hunn</t>
  </si>
  <si>
    <t>Koiro</t>
  </si>
  <si>
    <t>Lee</t>
  </si>
  <si>
    <t>Lemke</t>
  </si>
  <si>
    <t>Lyngaas</t>
  </si>
  <si>
    <t>Martinez</t>
  </si>
  <si>
    <t>Montgomery</t>
  </si>
  <si>
    <t>Napier</t>
  </si>
  <si>
    <t>Patton</t>
  </si>
  <si>
    <t>Raatz</t>
  </si>
  <si>
    <t>Ramsdell</t>
  </si>
  <si>
    <t>Southall</t>
  </si>
  <si>
    <t>Schmitz</t>
  </si>
  <si>
    <t>Torres</t>
  </si>
  <si>
    <t>Van Hee</t>
  </si>
  <si>
    <t>Wittig</t>
  </si>
  <si>
    <t>Search &amp; Rescue</t>
  </si>
  <si>
    <t>Amount</t>
  </si>
  <si>
    <t>1 Cert</t>
  </si>
  <si>
    <t>2 Certs</t>
  </si>
  <si>
    <t>3 Certs</t>
  </si>
  <si>
    <t>4 Certs</t>
  </si>
  <si>
    <t>5 Certs</t>
  </si>
  <si>
    <t>6 Certs</t>
  </si>
  <si>
    <t>Shift Amount</t>
  </si>
  <si>
    <t>Admin Amount</t>
  </si>
  <si>
    <t>Wildland Gear Packs</t>
  </si>
  <si>
    <t>Accident &amp; Sickness, STD, LTD, CI Insurance (Hartford)</t>
  </si>
  <si>
    <t>Accident &amp; Sickness, STD, LTD, CI, &amp; life - VFIS/CAFCA/HARTFORD</t>
  </si>
  <si>
    <t>Cascade System 6000 PSI 10 Year Hydro</t>
  </si>
  <si>
    <t>ADMIN/OFFICE STAFF</t>
  </si>
  <si>
    <t>Capnography Devices</t>
  </si>
  <si>
    <t>35-foot 2-fly Extention Ladder</t>
  </si>
  <si>
    <t>28-foot Extension Ladder</t>
  </si>
  <si>
    <t>Wildland Urban Interface Conference (Reno, NV)</t>
  </si>
  <si>
    <t>Fire &amp; EMS Academy Recruiting</t>
  </si>
  <si>
    <t>Forcible Entry Prop for Hiring</t>
  </si>
  <si>
    <t>Station Internet Connectivity Hardware</t>
  </si>
  <si>
    <t>AT&amp;T Landline (non-emergency line)</t>
  </si>
  <si>
    <t>*Debt Service Interest</t>
  </si>
  <si>
    <t>*Debt Service 2013 bonds</t>
  </si>
  <si>
    <t>Capital apparatus/equipment purchases</t>
  </si>
  <si>
    <t>Training Coordinator (PT)</t>
  </si>
  <si>
    <t>Alpha Pagers (from category 602)</t>
  </si>
  <si>
    <t>Active911 Alerting System (from category 602)</t>
  </si>
  <si>
    <t>Moving to 603 - Dispatch &amp; Communications</t>
  </si>
  <si>
    <t>Paint Downstairs Offices, Rooms, and Hallways at Station 302</t>
  </si>
  <si>
    <t>Battalion Chief Robert E. Hartigan</t>
  </si>
  <si>
    <t>Battalion Chief Jerry D. Patton</t>
  </si>
  <si>
    <t>Battalion Chief Jason A. Torres</t>
  </si>
  <si>
    <t>Captain Scott A. Barfield</t>
  </si>
  <si>
    <t>Captain Russell W. Bergman</t>
  </si>
  <si>
    <t>Lieutenant Jason G. Ramsdell</t>
  </si>
  <si>
    <t>Lieutenant Kyle A. Grieser</t>
  </si>
  <si>
    <t>Lieutenant Jason M. Martinez</t>
  </si>
  <si>
    <t>Engineer Ross H. Lemke</t>
  </si>
  <si>
    <t>Engineer Charles L. Ford</t>
  </si>
  <si>
    <t>Engineer Andrew Lee</t>
  </si>
  <si>
    <t>Firefighter Trevor E. Koiro</t>
  </si>
  <si>
    <t>Firefighter Jonathan B. Hester</t>
  </si>
  <si>
    <t>Firefighter George R. Schmitz</t>
  </si>
  <si>
    <t>Firefighter Jackson S. Napier</t>
  </si>
  <si>
    <t>Firefighter Joell Bowen</t>
  </si>
  <si>
    <t>Firefighter William C. Hunn</t>
  </si>
  <si>
    <t>Firefighter Stephen Gay</t>
  </si>
  <si>
    <t>Firefighter Jeffrey A. Raatz</t>
  </si>
  <si>
    <t>Fire Chief Jeffrey J. Wittig</t>
  </si>
  <si>
    <t>Business Manager Herbert H. Holloway</t>
  </si>
  <si>
    <t>Captain Aaron C. Lyngaas</t>
  </si>
  <si>
    <t>Engineer Connor L. Montgomery</t>
  </si>
  <si>
    <t>Engineer Phillip T. Elkins</t>
  </si>
  <si>
    <t>Firefighter Dustin L. Davis</t>
  </si>
  <si>
    <t>ST301 Expansion (Arch, Eng, &amp; Permits)</t>
  </si>
  <si>
    <t>Approved FY2020 Budget</t>
  </si>
  <si>
    <t>FF 2021</t>
  </si>
  <si>
    <t>DO 2021</t>
  </si>
  <si>
    <t>LT 2021</t>
  </si>
  <si>
    <t>CAP 2021</t>
  </si>
  <si>
    <t>BC 2021</t>
  </si>
  <si>
    <t>LONGEVITY INCENTIVE - Effective 10/01/2020</t>
  </si>
  <si>
    <t>Texas Association of Fire Chiefs</t>
  </si>
  <si>
    <t>ST301 Expansion (Construction)</t>
  </si>
  <si>
    <t>Firefighter Stephen E. Caudle</t>
  </si>
  <si>
    <t>Firefighter Luke J. Dawson</t>
  </si>
  <si>
    <t>Firefighter Shane E. Denner</t>
  </si>
  <si>
    <t>Firefighter Richard I. Hensley</t>
  </si>
  <si>
    <t>Training Coordinator Jeanine F. Southall</t>
  </si>
  <si>
    <t>Firefighter Andrew W. Hoffman</t>
  </si>
  <si>
    <t>Firefighter Ryan A. van Hee</t>
  </si>
  <si>
    <t>Engineer Jeffrey C. Beard</t>
  </si>
  <si>
    <t>Property Tax</t>
  </si>
  <si>
    <t>EMS Certification School fees (2 classes)</t>
  </si>
  <si>
    <t>SAFE-D Conference (Fort Worth 2021)</t>
  </si>
  <si>
    <t>Health etc. - employee TAC December - September</t>
  </si>
  <si>
    <t>Accident &amp; Sickness Insurance: CAFCA FT Paid (VFIS)</t>
  </si>
  <si>
    <t>Paychex regular processing fees</t>
  </si>
  <si>
    <t>State Cleaning Supplies</t>
  </si>
  <si>
    <t>Replacement Mattresses (both stations - 8 yrs)</t>
  </si>
  <si>
    <t>Replace SCBA air bottles @ $680 each</t>
  </si>
  <si>
    <t>Replace Tender 301 Dump Valve</t>
  </si>
  <si>
    <t>Wireless Headsets (Brush Trucks)</t>
  </si>
  <si>
    <t>Cost Share for ESD6 Rehab Truck</t>
  </si>
  <si>
    <t>Live Fire Supplies</t>
  </si>
  <si>
    <t>Training Buildings and Props Enhancement</t>
  </si>
  <si>
    <t>Technical Rescue Classes (Switftwater, Search, Vehicle Rescue, etc.)</t>
  </si>
  <si>
    <t>Power Saw Replacements for Training Field</t>
  </si>
  <si>
    <t>IAFC Fire Rescue International (Charlotte, NC 2021)</t>
  </si>
  <si>
    <t>4 Attendees</t>
  </si>
  <si>
    <t>3 Attendees</t>
  </si>
  <si>
    <t>JW + 4 Attendees</t>
  </si>
  <si>
    <t>Drill Field Maintenance</t>
  </si>
  <si>
    <t>Staff Parking Covers (Both Stations)</t>
  </si>
  <si>
    <t>Station Lighting Systems Replacement (LEDs)</t>
  </si>
  <si>
    <t>JW, SB, JP, JT</t>
  </si>
  <si>
    <t>Chiefs, Capts, Admin</t>
  </si>
  <si>
    <t>Newspaper Public Notices re Tax Rate</t>
  </si>
  <si>
    <t>*Fully funded in Reserve Policy in FY2020</t>
  </si>
  <si>
    <t>Fire Extinguisher replacements at both stations</t>
  </si>
  <si>
    <t>EXPENSE CATEGORY</t>
  </si>
  <si>
    <t>CHIEF</t>
  </si>
  <si>
    <t>TCFP Initial Certifications (20@55)</t>
  </si>
  <si>
    <t>2025: Drill Tower Inspection ~$6,000</t>
  </si>
  <si>
    <t>Replace Station Projection Systems</t>
  </si>
  <si>
    <t>Approved FY2021 Budget</t>
  </si>
  <si>
    <t>Rescue Tech Certs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</si>
</sst>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  <numFmt numFmtId="167" formatCode="#,##0.0_);[Red]\(#,##0.0\)"/>
    <numFmt numFmtId="168" formatCode="0.0%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</cellStyleXfs>
  <cellXfs count="1079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4" fontId="5" fillId="0" borderId="0" xfId="1" applyFont="1" applyBorder="1"/>
    <xf numFmtId="0" fontId="5" fillId="0" borderId="0" xfId="0" applyFont="1"/>
    <xf numFmtId="0" fontId="8" fillId="0" borderId="0" xfId="0" applyFont="1" applyBorder="1"/>
    <xf numFmtId="0" fontId="6" fillId="0" borderId="0" xfId="0" applyFont="1"/>
    <xf numFmtId="4" fontId="5" fillId="0" borderId="0" xfId="0" applyNumberFormat="1" applyFont="1" applyFill="1"/>
    <xf numFmtId="44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Fill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44" fontId="0" fillId="0" borderId="0" xfId="0" applyNumberFormat="1"/>
    <xf numFmtId="0" fontId="13" fillId="0" borderId="0" xfId="0" applyFont="1" applyBorder="1" applyAlignment="1">
      <alignment horizontal="left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9" fillId="0" borderId="13" xfId="0" applyFont="1" applyFill="1" applyBorder="1" applyAlignment="1">
      <alignment horizontal="left"/>
    </xf>
    <xf numFmtId="0" fontId="22" fillId="0" borderId="0" xfId="0" applyFont="1" applyBorder="1"/>
    <xf numFmtId="44" fontId="5" fillId="0" borderId="16" xfId="1" applyFont="1" applyBorder="1"/>
    <xf numFmtId="0" fontId="10" fillId="0" borderId="0" xfId="0" applyFont="1"/>
    <xf numFmtId="0" fontId="0" fillId="0" borderId="0" xfId="0" applyNumberFormat="1" applyAlignment="1">
      <alignment horizontal="center"/>
    </xf>
    <xf numFmtId="0" fontId="16" fillId="0" borderId="0" xfId="0" applyFont="1" applyBorder="1"/>
    <xf numFmtId="0" fontId="13" fillId="0" borderId="0" xfId="0" applyFont="1" applyBorder="1"/>
    <xf numFmtId="44" fontId="13" fillId="0" borderId="0" xfId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44" fontId="16" fillId="0" borderId="16" xfId="1" applyFont="1" applyBorder="1"/>
    <xf numFmtId="0" fontId="13" fillId="0" borderId="1" xfId="0" applyFont="1" applyBorder="1" applyAlignment="1">
      <alignment horizontal="left"/>
    </xf>
    <xf numFmtId="0" fontId="10" fillId="0" borderId="1" xfId="0" applyFont="1" applyBorder="1"/>
    <xf numFmtId="44" fontId="13" fillId="0" borderId="16" xfId="1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3" fillId="0" borderId="20" xfId="0" applyFont="1" applyBorder="1" applyAlignment="1"/>
    <xf numFmtId="0" fontId="13" fillId="0" borderId="20" xfId="0" applyFont="1" applyBorder="1" applyAlignment="1">
      <alignment horizontal="left"/>
    </xf>
    <xf numFmtId="4" fontId="13" fillId="0" borderId="0" xfId="0" applyNumberFormat="1" applyFont="1" applyBorder="1"/>
    <xf numFmtId="0" fontId="18" fillId="0" borderId="16" xfId="0" applyFont="1" applyBorder="1" applyAlignment="1">
      <alignment horizontal="center"/>
    </xf>
    <xf numFmtId="44" fontId="13" fillId="0" borderId="16" xfId="0" applyNumberFormat="1" applyFont="1" applyBorder="1" applyAlignment="1">
      <alignment horizontal="center"/>
    </xf>
    <xf numFmtId="44" fontId="13" fillId="0" borderId="19" xfId="0" applyNumberFormat="1" applyFont="1" applyBorder="1" applyAlignment="1">
      <alignment horizontal="center"/>
    </xf>
    <xf numFmtId="44" fontId="13" fillId="0" borderId="21" xfId="0" applyNumberFormat="1" applyFont="1" applyBorder="1" applyAlignment="1">
      <alignment horizontal="center"/>
    </xf>
    <xf numFmtId="44" fontId="13" fillId="0" borderId="0" xfId="1" applyFont="1" applyBorder="1"/>
    <xf numFmtId="0" fontId="18" fillId="0" borderId="0" xfId="0" applyFont="1" applyBorder="1"/>
    <xf numFmtId="0" fontId="13" fillId="0" borderId="22" xfId="0" applyFont="1" applyBorder="1" applyAlignment="1">
      <alignment horizontal="left"/>
    </xf>
    <xf numFmtId="44" fontId="13" fillId="0" borderId="16" xfId="1" applyFont="1" applyBorder="1" applyAlignment="1">
      <alignment horizontal="center"/>
    </xf>
    <xf numFmtId="44" fontId="13" fillId="0" borderId="16" xfId="1" applyFont="1" applyBorder="1"/>
    <xf numFmtId="44" fontId="13" fillId="0" borderId="19" xfId="1" applyFont="1" applyBorder="1" applyAlignment="1">
      <alignment horizontal="left"/>
    </xf>
    <xf numFmtId="0" fontId="16" fillId="0" borderId="16" xfId="0" applyFont="1" applyBorder="1" applyAlignment="1">
      <alignment horizontal="center"/>
    </xf>
    <xf numFmtId="0" fontId="13" fillId="0" borderId="20" xfId="0" applyFont="1" applyBorder="1"/>
    <xf numFmtId="44" fontId="13" fillId="0" borderId="16" xfId="1" applyNumberFormat="1" applyFont="1" applyBorder="1"/>
    <xf numFmtId="0" fontId="13" fillId="0" borderId="16" xfId="0" applyFont="1" applyBorder="1"/>
    <xf numFmtId="0" fontId="23" fillId="0" borderId="16" xfId="0" applyFont="1" applyBorder="1" applyAlignment="1">
      <alignment horizontal="left"/>
    </xf>
    <xf numFmtId="44" fontId="10" fillId="0" borderId="16" xfId="0" applyNumberFormat="1" applyFont="1" applyBorder="1"/>
    <xf numFmtId="0" fontId="10" fillId="0" borderId="16" xfId="0" applyFont="1" applyBorder="1" applyAlignment="1"/>
    <xf numFmtId="44" fontId="10" fillId="0" borderId="16" xfId="0" applyNumberFormat="1" applyFont="1" applyFill="1" applyBorder="1"/>
    <xf numFmtId="0" fontId="16" fillId="0" borderId="0" xfId="0" applyFont="1"/>
    <xf numFmtId="0" fontId="16" fillId="0" borderId="0" xfId="0" applyFont="1" applyBorder="1" applyAlignment="1">
      <alignment horizontal="center"/>
    </xf>
    <xf numFmtId="44" fontId="13" fillId="0" borderId="16" xfId="1" applyNumberFormat="1" applyFont="1" applyBorder="1" applyAlignment="1">
      <alignment horizontal="center"/>
    </xf>
    <xf numFmtId="44" fontId="13" fillId="0" borderId="16" xfId="0" applyNumberFormat="1" applyFont="1" applyBorder="1"/>
    <xf numFmtId="0" fontId="13" fillId="0" borderId="16" xfId="0" applyFont="1" applyBorder="1" applyAlignment="1">
      <alignment horizontal="left"/>
    </xf>
    <xf numFmtId="44" fontId="13" fillId="0" borderId="16" xfId="1" applyNumberFormat="1" applyFont="1" applyFill="1" applyBorder="1" applyAlignment="1"/>
    <xf numFmtId="0" fontId="13" fillId="0" borderId="16" xfId="0" applyFont="1" applyFill="1" applyBorder="1" applyAlignment="1">
      <alignment vertical="top"/>
    </xf>
    <xf numFmtId="0" fontId="13" fillId="0" borderId="19" xfId="0" applyFont="1" applyBorder="1"/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3" fillId="0" borderId="16" xfId="0" applyFont="1" applyBorder="1" applyAlignment="1"/>
    <xf numFmtId="0" fontId="10" fillId="0" borderId="1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28" xfId="0" applyNumberFormat="1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/>
    <xf numFmtId="0" fontId="10" fillId="0" borderId="8" xfId="0" applyFont="1" applyFill="1" applyBorder="1" applyAlignment="1">
      <alignment horizontal="left"/>
    </xf>
    <xf numFmtId="0" fontId="10" fillId="0" borderId="28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44" fontId="6" fillId="3" borderId="25" xfId="1" applyFont="1" applyFill="1" applyBorder="1"/>
    <xf numFmtId="0" fontId="13" fillId="0" borderId="23" xfId="0" applyFont="1" applyBorder="1" applyAlignment="1">
      <alignment horizontal="center"/>
    </xf>
    <xf numFmtId="44" fontId="13" fillId="0" borderId="21" xfId="1" applyFont="1" applyBorder="1" applyAlignment="1">
      <alignment horizontal="center"/>
    </xf>
    <xf numFmtId="0" fontId="16" fillId="0" borderId="0" xfId="0" applyFont="1" applyBorder="1" applyAlignment="1"/>
    <xf numFmtId="0" fontId="16" fillId="3" borderId="25" xfId="0" applyFont="1" applyFill="1" applyBorder="1" applyAlignment="1">
      <alignment horizontal="center"/>
    </xf>
    <xf numFmtId="0" fontId="10" fillId="0" borderId="0" xfId="0" applyFont="1" applyBorder="1"/>
    <xf numFmtId="0" fontId="19" fillId="0" borderId="0" xfId="0" applyFont="1" applyBorder="1"/>
    <xf numFmtId="44" fontId="19" fillId="3" borderId="25" xfId="1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8" fillId="0" borderId="16" xfId="1" applyNumberFormat="1" applyFont="1" applyBorder="1" applyAlignment="1">
      <alignment horizontal="center"/>
    </xf>
    <xf numFmtId="0" fontId="13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3" fillId="0" borderId="19" xfId="1" applyFont="1" applyBorder="1"/>
    <xf numFmtId="0" fontId="13" fillId="0" borderId="46" xfId="0" applyFont="1" applyBorder="1" applyAlignment="1">
      <alignment horizontal="center"/>
    </xf>
    <xf numFmtId="0" fontId="18" fillId="0" borderId="16" xfId="0" applyFont="1" applyBorder="1"/>
    <xf numFmtId="44" fontId="13" fillId="0" borderId="16" xfId="1" applyNumberFormat="1" applyFont="1" applyFill="1" applyBorder="1"/>
    <xf numFmtId="44" fontId="13" fillId="0" borderId="19" xfId="1" applyNumberFormat="1" applyFont="1" applyBorder="1" applyAlignment="1">
      <alignment horizontal="center"/>
    </xf>
    <xf numFmtId="44" fontId="13" fillId="0" borderId="19" xfId="0" applyNumberFormat="1" applyFont="1" applyBorder="1"/>
    <xf numFmtId="44" fontId="13" fillId="0" borderId="16" xfId="0" applyNumberFormat="1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0" xfId="0" applyFont="1"/>
    <xf numFmtId="44" fontId="13" fillId="0" borderId="21" xfId="0" applyNumberFormat="1" applyFont="1" applyBorder="1"/>
    <xf numFmtId="0" fontId="13" fillId="0" borderId="46" xfId="0" applyFont="1" applyBorder="1"/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3" fillId="0" borderId="16" xfId="0" applyNumberFormat="1" applyFont="1" applyBorder="1" applyAlignment="1">
      <alignment horizontal="left"/>
    </xf>
    <xf numFmtId="44" fontId="13" fillId="0" borderId="16" xfId="1" applyNumberFormat="1" applyFont="1" applyBorder="1" applyAlignment="1">
      <alignment horizontal="left"/>
    </xf>
    <xf numFmtId="44" fontId="13" fillId="0" borderId="46" xfId="0" applyNumberFormat="1" applyFont="1" applyBorder="1" applyAlignment="1">
      <alignment horizontal="center"/>
    </xf>
    <xf numFmtId="0" fontId="27" fillId="0" borderId="0" xfId="0" applyFont="1" applyBorder="1"/>
    <xf numFmtId="0" fontId="23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30" fillId="0" borderId="0" xfId="0" applyFont="1"/>
    <xf numFmtId="44" fontId="18" fillId="0" borderId="16" xfId="1" applyNumberFormat="1" applyFont="1" applyBorder="1" applyAlignment="1">
      <alignment horizontal="center"/>
    </xf>
    <xf numFmtId="44" fontId="13" fillId="0" borderId="51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3" fillId="0" borderId="20" xfId="0" applyFont="1" applyBorder="1" applyAlignment="1">
      <alignment wrapText="1"/>
    </xf>
    <xf numFmtId="44" fontId="13" fillId="0" borderId="21" xfId="1" applyFont="1" applyBorder="1"/>
    <xf numFmtId="0" fontId="10" fillId="0" borderId="43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4" fontId="13" fillId="0" borderId="0" xfId="1" applyFont="1" applyFill="1" applyBorder="1"/>
    <xf numFmtId="0" fontId="13" fillId="0" borderId="0" xfId="0" applyFont="1" applyFill="1" applyBorder="1"/>
    <xf numFmtId="0" fontId="22" fillId="0" borderId="0" xfId="0" applyFont="1" applyAlignment="1">
      <alignment horizontal="center" vertical="center"/>
    </xf>
    <xf numFmtId="42" fontId="10" fillId="2" borderId="2" xfId="0" applyNumberFormat="1" applyFont="1" applyFill="1" applyBorder="1"/>
    <xf numFmtId="42" fontId="10" fillId="2" borderId="12" xfId="0" applyNumberFormat="1" applyFont="1" applyFill="1" applyBorder="1"/>
    <xf numFmtId="42" fontId="10" fillId="2" borderId="33" xfId="0" applyNumberFormat="1" applyFont="1" applyFill="1" applyBorder="1"/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4" fillId="0" borderId="61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44" xfId="0" applyBorder="1" applyAlignment="1">
      <alignment vertical="center"/>
    </xf>
    <xf numFmtId="0" fontId="7" fillId="0" borderId="44" xfId="0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44" xfId="0" applyFont="1" applyBorder="1" applyAlignment="1">
      <alignment horizontal="right" vertical="center"/>
    </xf>
    <xf numFmtId="0" fontId="0" fillId="0" borderId="49" xfId="0" applyBorder="1"/>
    <xf numFmtId="0" fontId="14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8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3" fillId="0" borderId="16" xfId="0" applyFont="1" applyFill="1" applyBorder="1" applyAlignment="1">
      <alignment vertical="top" wrapText="1"/>
    </xf>
    <xf numFmtId="0" fontId="9" fillId="0" borderId="0" xfId="2"/>
    <xf numFmtId="0" fontId="9" fillId="0" borderId="0" xfId="2" applyBorder="1"/>
    <xf numFmtId="0" fontId="10" fillId="0" borderId="0" xfId="2" applyFont="1" applyBorder="1" applyAlignment="1">
      <alignment textRotation="44"/>
    </xf>
    <xf numFmtId="0" fontId="10" fillId="0" borderId="0" xfId="2" applyFont="1" applyBorder="1"/>
    <xf numFmtId="165" fontId="9" fillId="0" borderId="0" xfId="2" applyNumberForma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7" fillId="0" borderId="0" xfId="2" applyFont="1"/>
    <xf numFmtId="165" fontId="9" fillId="0" borderId="0" xfId="2" applyNumberFormat="1" applyBorder="1"/>
    <xf numFmtId="164" fontId="9" fillId="0" borderId="0" xfId="2" applyNumberFormat="1" applyBorder="1"/>
    <xf numFmtId="165" fontId="9" fillId="0" borderId="0" xfId="2" applyNumberFormat="1" applyFill="1" applyBorder="1"/>
    <xf numFmtId="0" fontId="9" fillId="0" borderId="70" xfId="0" applyNumberFormat="1" applyFont="1" applyBorder="1" applyAlignment="1">
      <alignment horizontal="center"/>
    </xf>
    <xf numFmtId="44" fontId="23" fillId="0" borderId="16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Border="1"/>
    <xf numFmtId="0" fontId="17" fillId="0" borderId="0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/>
    <xf numFmtId="0" fontId="1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3" borderId="25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44" fontId="10" fillId="0" borderId="16" xfId="0" applyNumberFormat="1" applyFont="1" applyBorder="1" applyAlignment="1">
      <alignment horizontal="center"/>
    </xf>
    <xf numFmtId="44" fontId="10" fillId="0" borderId="19" xfId="0" applyNumberFormat="1" applyFont="1" applyBorder="1" applyAlignment="1">
      <alignment horizontal="center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13" fillId="0" borderId="20" xfId="0" applyFont="1" applyFill="1" applyBorder="1"/>
    <xf numFmtId="44" fontId="13" fillId="0" borderId="16" xfId="0" applyNumberFormat="1" applyFont="1" applyFill="1" applyBorder="1"/>
    <xf numFmtId="44" fontId="18" fillId="0" borderId="16" xfId="0" applyNumberFormat="1" applyFont="1" applyBorder="1" applyAlignment="1">
      <alignment horizontal="center"/>
    </xf>
    <xf numFmtId="0" fontId="18" fillId="0" borderId="0" xfId="0" applyFont="1" applyFill="1" applyBorder="1"/>
    <xf numFmtId="0" fontId="4" fillId="0" borderId="0" xfId="0" applyFont="1" applyBorder="1" applyAlignment="1">
      <alignment horizontal="left"/>
    </xf>
    <xf numFmtId="44" fontId="10" fillId="0" borderId="16" xfId="1" applyFont="1" applyBorder="1"/>
    <xf numFmtId="44" fontId="10" fillId="0" borderId="21" xfId="0" applyNumberFormat="1" applyFont="1" applyBorder="1" applyAlignment="1">
      <alignment horizontal="center"/>
    </xf>
    <xf numFmtId="44" fontId="18" fillId="3" borderId="25" xfId="1" applyFont="1" applyFill="1" applyBorder="1"/>
    <xf numFmtId="0" fontId="13" fillId="0" borderId="76" xfId="0" applyFont="1" applyBorder="1"/>
    <xf numFmtId="44" fontId="35" fillId="0" borderId="16" xfId="0" applyNumberFormat="1" applyFont="1" applyBorder="1" applyAlignment="1">
      <alignment horizontal="center"/>
    </xf>
    <xf numFmtId="0" fontId="18" fillId="3" borderId="25" xfId="1" applyNumberFormat="1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6" fillId="3" borderId="28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3" borderId="25" xfId="1" applyNumberFormat="1" applyFont="1" applyFill="1" applyBorder="1" applyAlignment="1">
      <alignment horizontal="center"/>
    </xf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8" fillId="3" borderId="25" xfId="0" applyFont="1" applyFill="1" applyBorder="1" applyAlignment="1">
      <alignment horizontal="center"/>
    </xf>
    <xf numFmtId="44" fontId="18" fillId="0" borderId="16" xfId="0" applyNumberFormat="1" applyFont="1" applyFill="1" applyBorder="1" applyAlignment="1">
      <alignment horizontal="center"/>
    </xf>
    <xf numFmtId="0" fontId="18" fillId="3" borderId="25" xfId="0" applyFont="1" applyFill="1" applyBorder="1" applyAlignment="1">
      <alignment horizontal="left"/>
    </xf>
    <xf numFmtId="44" fontId="27" fillId="0" borderId="16" xfId="1" applyFont="1" applyBorder="1" applyAlignment="1"/>
    <xf numFmtId="0" fontId="13" fillId="0" borderId="74" xfId="0" applyFont="1" applyBorder="1" applyAlignment="1">
      <alignment horizontal="center"/>
    </xf>
    <xf numFmtId="44" fontId="27" fillId="0" borderId="16" xfId="1" applyFont="1" applyBorder="1"/>
    <xf numFmtId="44" fontId="13" fillId="0" borderId="21" xfId="1" applyFont="1" applyFill="1" applyBorder="1" applyAlignment="1">
      <alignment horizontal="left"/>
    </xf>
    <xf numFmtId="0" fontId="18" fillId="3" borderId="2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4" fontId="10" fillId="0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3" fillId="0" borderId="16" xfId="0" applyFont="1" applyFill="1" applyBorder="1" applyAlignment="1"/>
    <xf numFmtId="0" fontId="13" fillId="2" borderId="16" xfId="0" applyFont="1" applyFill="1" applyBorder="1" applyAlignment="1">
      <alignment horizontal="left"/>
    </xf>
    <xf numFmtId="0" fontId="38" fillId="0" borderId="0" xfId="0" applyFont="1" applyBorder="1"/>
    <xf numFmtId="0" fontId="13" fillId="0" borderId="0" xfId="0" applyFont="1" applyFill="1" applyBorder="1" applyAlignment="1">
      <alignment horizontal="left"/>
    </xf>
    <xf numFmtId="0" fontId="23" fillId="0" borderId="0" xfId="0" applyFont="1" applyBorder="1"/>
    <xf numFmtId="0" fontId="36" fillId="0" borderId="16" xfId="0" applyFont="1" applyBorder="1" applyAlignment="1">
      <alignment horizontal="center"/>
    </xf>
    <xf numFmtId="44" fontId="18" fillId="0" borderId="16" xfId="1" applyFont="1" applyBorder="1"/>
    <xf numFmtId="0" fontId="39" fillId="0" borderId="0" xfId="0" applyFont="1" applyBorder="1" applyAlignment="1">
      <alignment horizontal="left"/>
    </xf>
    <xf numFmtId="44" fontId="13" fillId="0" borderId="19" xfId="1" applyNumberFormat="1" applyFont="1" applyBorder="1" applyAlignment="1">
      <alignment horizontal="left"/>
    </xf>
    <xf numFmtId="44" fontId="13" fillId="0" borderId="22" xfId="1" applyFont="1" applyBorder="1"/>
    <xf numFmtId="44" fontId="13" fillId="0" borderId="76" xfId="1" applyNumberFormat="1" applyFont="1" applyBorder="1"/>
    <xf numFmtId="0" fontId="23" fillId="0" borderId="20" xfId="0" applyFont="1" applyFill="1" applyBorder="1" applyAlignment="1">
      <alignment horizontal="left"/>
    </xf>
    <xf numFmtId="44" fontId="23" fillId="0" borderId="16" xfId="0" applyNumberFormat="1" applyFont="1" applyBorder="1"/>
    <xf numFmtId="44" fontId="27" fillId="0" borderId="16" xfId="0" applyNumberFormat="1" applyFont="1" applyBorder="1" applyAlignment="1">
      <alignment horizontal="center"/>
    </xf>
    <xf numFmtId="44" fontId="13" fillId="0" borderId="21" xfId="1" applyNumberFormat="1" applyFont="1" applyBorder="1" applyAlignment="1">
      <alignment horizontal="left"/>
    </xf>
    <xf numFmtId="0" fontId="15" fillId="0" borderId="0" xfId="0" applyFont="1" applyBorder="1"/>
    <xf numFmtId="0" fontId="2" fillId="0" borderId="0" xfId="0" applyFont="1"/>
    <xf numFmtId="0" fontId="13" fillId="0" borderId="19" xfId="0" applyFont="1" applyFill="1" applyBorder="1" applyAlignment="1"/>
    <xf numFmtId="44" fontId="10" fillId="0" borderId="0" xfId="0" applyNumberFormat="1" applyFont="1"/>
    <xf numFmtId="0" fontId="10" fillId="0" borderId="0" xfId="0" applyFont="1" applyAlignment="1">
      <alignment vertical="center"/>
    </xf>
    <xf numFmtId="0" fontId="25" fillId="0" borderId="0" xfId="0" applyFont="1" applyBorder="1"/>
    <xf numFmtId="42" fontId="0" fillId="0" borderId="0" xfId="0" applyNumberFormat="1"/>
    <xf numFmtId="0" fontId="24" fillId="0" borderId="81" xfId="0" applyFont="1" applyBorder="1" applyAlignment="1">
      <alignment horizontal="left" vertical="center"/>
    </xf>
    <xf numFmtId="44" fontId="13" fillId="0" borderId="76" xfId="1" applyFont="1" applyBorder="1" applyAlignment="1">
      <alignment horizontal="left"/>
    </xf>
    <xf numFmtId="0" fontId="13" fillId="0" borderId="72" xfId="0" applyFont="1" applyBorder="1"/>
    <xf numFmtId="164" fontId="10" fillId="0" borderId="0" xfId="0" applyNumberFormat="1" applyFont="1" applyBorder="1" applyAlignment="1"/>
    <xf numFmtId="0" fontId="13" fillId="0" borderId="41" xfId="0" applyFont="1" applyBorder="1"/>
    <xf numFmtId="0" fontId="19" fillId="3" borderId="2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3" xfId="0" applyFont="1" applyBorder="1"/>
    <xf numFmtId="44" fontId="16" fillId="0" borderId="3" xfId="0" applyNumberFormat="1" applyFont="1" applyBorder="1"/>
    <xf numFmtId="0" fontId="16" fillId="0" borderId="1" xfId="0" applyFont="1" applyBorder="1"/>
    <xf numFmtId="0" fontId="16" fillId="0" borderId="2" xfId="0" applyFont="1" applyBorder="1"/>
    <xf numFmtId="44" fontId="16" fillId="0" borderId="10" xfId="0" applyNumberFormat="1" applyFont="1" applyBorder="1"/>
    <xf numFmtId="0" fontId="41" fillId="0" borderId="16" xfId="0" applyFont="1" applyBorder="1" applyAlignment="1">
      <alignment horizontal="center"/>
    </xf>
    <xf numFmtId="0" fontId="13" fillId="0" borderId="1" xfId="0" applyFont="1" applyBorder="1" applyAlignment="1"/>
    <xf numFmtId="44" fontId="10" fillId="0" borderId="16" xfId="1" applyFont="1" applyBorder="1" applyAlignment="1">
      <alignment horizontal="left"/>
    </xf>
    <xf numFmtId="44" fontId="10" fillId="0" borderId="19" xfId="1" applyFont="1" applyBorder="1" applyAlignment="1">
      <alignment horizontal="left"/>
    </xf>
    <xf numFmtId="44" fontId="10" fillId="0" borderId="19" xfId="0" applyNumberFormat="1" applyFont="1" applyBorder="1"/>
    <xf numFmtId="0" fontId="10" fillId="0" borderId="76" xfId="0" applyFont="1" applyBorder="1"/>
    <xf numFmtId="0" fontId="13" fillId="3" borderId="53" xfId="0" applyFont="1" applyFill="1" applyBorder="1"/>
    <xf numFmtId="0" fontId="13" fillId="0" borderId="0" xfId="0" applyFont="1" applyAlignment="1">
      <alignment horizontal="center"/>
    </xf>
    <xf numFmtId="0" fontId="10" fillId="0" borderId="46" xfId="0" applyFont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left"/>
    </xf>
    <xf numFmtId="44" fontId="10" fillId="0" borderId="21" xfId="1" applyFont="1" applyBorder="1" applyAlignment="1">
      <alignment horizontal="left"/>
    </xf>
    <xf numFmtId="0" fontId="10" fillId="0" borderId="19" xfId="0" applyFont="1" applyBorder="1" applyAlignment="1"/>
    <xf numFmtId="44" fontId="36" fillId="0" borderId="16" xfId="1" applyFont="1" applyBorder="1"/>
    <xf numFmtId="0" fontId="10" fillId="0" borderId="74" xfId="0" applyFont="1" applyBorder="1" applyAlignment="1">
      <alignment horizontal="center"/>
    </xf>
    <xf numFmtId="44" fontId="13" fillId="0" borderId="76" xfId="0" applyNumberFormat="1" applyFont="1" applyBorder="1"/>
    <xf numFmtId="0" fontId="23" fillId="0" borderId="0" xfId="0" applyFont="1"/>
    <xf numFmtId="0" fontId="23" fillId="0" borderId="1" xfId="0" applyFont="1" applyBorder="1" applyAlignment="1"/>
    <xf numFmtId="0" fontId="23" fillId="0" borderId="1" xfId="0" applyFont="1" applyBorder="1"/>
    <xf numFmtId="0" fontId="23" fillId="0" borderId="20" xfId="0" applyFont="1" applyBorder="1" applyAlignment="1">
      <alignment horizontal="left"/>
    </xf>
    <xf numFmtId="0" fontId="23" fillId="0" borderId="19" xfId="0" applyFont="1" applyBorder="1"/>
    <xf numFmtId="44" fontId="35" fillId="0" borderId="19" xfId="0" applyNumberFormat="1" applyFont="1" applyBorder="1" applyAlignment="1">
      <alignment horizontal="center"/>
    </xf>
    <xf numFmtId="0" fontId="13" fillId="0" borderId="69" xfId="0" applyFont="1" applyBorder="1"/>
    <xf numFmtId="44" fontId="23" fillId="0" borderId="19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4" fontId="13" fillId="0" borderId="19" xfId="0" applyNumberFormat="1" applyFont="1" applyFill="1" applyBorder="1" applyAlignment="1">
      <alignment horizontal="center"/>
    </xf>
    <xf numFmtId="44" fontId="13" fillId="0" borderId="69" xfId="0" applyNumberFormat="1" applyFont="1" applyFill="1" applyBorder="1" applyAlignment="1">
      <alignment horizontal="center"/>
    </xf>
    <xf numFmtId="0" fontId="0" fillId="0" borderId="0" xfId="0" applyFill="1"/>
    <xf numFmtId="0" fontId="13" fillId="0" borderId="85" xfId="0" applyFont="1" applyBorder="1"/>
    <xf numFmtId="44" fontId="13" fillId="0" borderId="85" xfId="0" applyNumberFormat="1" applyFont="1" applyFill="1" applyBorder="1" applyAlignment="1">
      <alignment horizontal="center"/>
    </xf>
    <xf numFmtId="44" fontId="13" fillId="0" borderId="85" xfId="0" applyNumberFormat="1" applyFont="1" applyFill="1" applyBorder="1"/>
    <xf numFmtId="0" fontId="18" fillId="0" borderId="20" xfId="0" applyFont="1" applyFill="1" applyBorder="1" applyAlignment="1">
      <alignment horizontal="left"/>
    </xf>
    <xf numFmtId="0" fontId="19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4" fontId="16" fillId="0" borderId="3" xfId="1" applyNumberFormat="1" applyFont="1" applyBorder="1"/>
    <xf numFmtId="0" fontId="19" fillId="0" borderId="1" xfId="0" applyFont="1" applyBorder="1"/>
    <xf numFmtId="44" fontId="16" fillId="0" borderId="3" xfId="1" applyFont="1" applyBorder="1"/>
    <xf numFmtId="0" fontId="16" fillId="0" borderId="17" xfId="0" applyFont="1" applyBorder="1"/>
    <xf numFmtId="0" fontId="16" fillId="0" borderId="8" xfId="0" applyFont="1" applyBorder="1"/>
    <xf numFmtId="44" fontId="16" fillId="0" borderId="8" xfId="1" applyNumberFormat="1" applyFont="1" applyBorder="1"/>
    <xf numFmtId="0" fontId="19" fillId="0" borderId="18" xfId="0" applyFont="1" applyBorder="1"/>
    <xf numFmtId="0" fontId="16" fillId="0" borderId="13" xfId="0" applyFont="1" applyBorder="1"/>
    <xf numFmtId="44" fontId="16" fillId="0" borderId="13" xfId="0" applyNumberFormat="1" applyFont="1" applyBorder="1"/>
    <xf numFmtId="0" fontId="19" fillId="0" borderId="9" xfId="0" applyFont="1" applyBorder="1" applyAlignment="1">
      <alignment horizontal="right"/>
    </xf>
    <xf numFmtId="0" fontId="16" fillId="0" borderId="10" xfId="0" applyFont="1" applyBorder="1"/>
    <xf numFmtId="44" fontId="19" fillId="0" borderId="50" xfId="0" applyNumberFormat="1" applyFont="1" applyBorder="1"/>
    <xf numFmtId="44" fontId="16" fillId="0" borderId="2" xfId="1" applyNumberFormat="1" applyFont="1" applyBorder="1"/>
    <xf numFmtId="44" fontId="19" fillId="0" borderId="11" xfId="0" applyNumberFormat="1" applyFont="1" applyBorder="1"/>
    <xf numFmtId="0" fontId="16" fillId="0" borderId="11" xfId="0" applyFont="1" applyBorder="1"/>
    <xf numFmtId="44" fontId="19" fillId="0" borderId="2" xfId="0" applyNumberFormat="1" applyFont="1" applyBorder="1"/>
    <xf numFmtId="44" fontId="19" fillId="0" borderId="2" xfId="0" applyNumberFormat="1" applyFont="1" applyBorder="1" applyAlignment="1">
      <alignment horizontal="center"/>
    </xf>
    <xf numFmtId="44" fontId="19" fillId="0" borderId="2" xfId="1" applyNumberFormat="1" applyFont="1" applyBorder="1"/>
    <xf numFmtId="44" fontId="19" fillId="0" borderId="2" xfId="1" applyFont="1" applyBorder="1"/>
    <xf numFmtId="44" fontId="19" fillId="0" borderId="77" xfId="1" applyNumberFormat="1" applyFont="1" applyBorder="1"/>
    <xf numFmtId="8" fontId="10" fillId="0" borderId="0" xfId="0" applyNumberFormat="1" applyFont="1"/>
    <xf numFmtId="0" fontId="15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5" fillId="0" borderId="27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2" fontId="10" fillId="2" borderId="15" xfId="0" applyNumberFormat="1" applyFont="1" applyFill="1" applyBorder="1"/>
    <xf numFmtId="42" fontId="10" fillId="0" borderId="0" xfId="0" applyNumberFormat="1" applyFont="1"/>
    <xf numFmtId="0" fontId="43" fillId="0" borderId="0" xfId="0" applyFont="1"/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2" borderId="28" xfId="0" applyFont="1" applyFill="1" applyBorder="1"/>
    <xf numFmtId="42" fontId="43" fillId="0" borderId="29" xfId="0" applyNumberFormat="1" applyFont="1" applyFill="1" applyBorder="1"/>
    <xf numFmtId="42" fontId="43" fillId="0" borderId="3" xfId="0" applyNumberFormat="1" applyFont="1" applyFill="1" applyBorder="1"/>
    <xf numFmtId="0" fontId="43" fillId="2" borderId="1" xfId="0" applyFont="1" applyFill="1" applyBorder="1"/>
    <xf numFmtId="0" fontId="43" fillId="2" borderId="4" xfId="0" applyFont="1" applyFill="1" applyBorder="1"/>
    <xf numFmtId="42" fontId="43" fillId="0" borderId="24" xfId="0" applyNumberFormat="1" applyFont="1" applyFill="1" applyBorder="1"/>
    <xf numFmtId="0" fontId="43" fillId="2" borderId="28" xfId="0" applyFont="1" applyFill="1" applyBorder="1" applyAlignment="1">
      <alignment wrapText="1"/>
    </xf>
    <xf numFmtId="42" fontId="43" fillId="3" borderId="29" xfId="0" applyNumberFormat="1" applyFont="1" applyFill="1" applyBorder="1"/>
    <xf numFmtId="0" fontId="43" fillId="0" borderId="1" xfId="0" applyFont="1" applyBorder="1"/>
    <xf numFmtId="42" fontId="43" fillId="3" borderId="3" xfId="0" applyNumberFormat="1" applyFont="1" applyFill="1" applyBorder="1"/>
    <xf numFmtId="0" fontId="43" fillId="0" borderId="42" xfId="0" applyFont="1" applyBorder="1"/>
    <xf numFmtId="0" fontId="43" fillId="2" borderId="17" xfId="0" applyFont="1" applyFill="1" applyBorder="1"/>
    <xf numFmtId="42" fontId="43" fillId="0" borderId="8" xfId="0" applyNumberFormat="1" applyFont="1" applyFill="1" applyBorder="1"/>
    <xf numFmtId="0" fontId="45" fillId="0" borderId="16" xfId="0" applyFont="1" applyBorder="1"/>
    <xf numFmtId="0" fontId="13" fillId="0" borderId="16" xfId="0" applyFont="1" applyFill="1" applyBorder="1" applyAlignment="1">
      <alignment horizontal="left" vertical="top"/>
    </xf>
    <xf numFmtId="44" fontId="13" fillId="0" borderId="16" xfId="1" applyNumberFormat="1" applyFont="1" applyBorder="1" applyAlignment="1"/>
    <xf numFmtId="0" fontId="43" fillId="0" borderId="28" xfId="0" applyFont="1" applyFill="1" applyBorder="1"/>
    <xf numFmtId="0" fontId="43" fillId="0" borderId="1" xfId="0" applyFont="1" applyFill="1" applyBorder="1"/>
    <xf numFmtId="0" fontId="43" fillId="0" borderId="4" xfId="0" applyFont="1" applyFill="1" applyBorder="1"/>
    <xf numFmtId="0" fontId="43" fillId="0" borderId="5" xfId="0" applyFont="1" applyBorder="1"/>
    <xf numFmtId="42" fontId="43" fillId="0" borderId="6" xfId="0" applyNumberFormat="1" applyFont="1" applyFill="1" applyBorder="1"/>
    <xf numFmtId="42" fontId="43" fillId="3" borderId="6" xfId="0" applyNumberFormat="1" applyFont="1" applyFill="1" applyBorder="1"/>
    <xf numFmtId="42" fontId="43" fillId="2" borderId="29" xfId="0" applyNumberFormat="1" applyFont="1" applyFill="1" applyBorder="1"/>
    <xf numFmtId="42" fontId="43" fillId="0" borderId="71" xfId="0" applyNumberFormat="1" applyFont="1" applyFill="1" applyBorder="1"/>
    <xf numFmtId="42" fontId="43" fillId="2" borderId="71" xfId="0" applyNumberFormat="1" applyFont="1" applyFill="1" applyBorder="1"/>
    <xf numFmtId="0" fontId="23" fillId="0" borderId="40" xfId="0" applyFont="1" applyBorder="1" applyAlignment="1">
      <alignment horizontal="left"/>
    </xf>
    <xf numFmtId="42" fontId="43" fillId="0" borderId="13" xfId="0" applyNumberFormat="1" applyFont="1" applyFill="1" applyBorder="1"/>
    <xf numFmtId="0" fontId="43" fillId="0" borderId="70" xfId="0" applyFont="1" applyFill="1" applyBorder="1"/>
    <xf numFmtId="42" fontId="43" fillId="3" borderId="24" xfId="0" applyNumberFormat="1" applyFont="1" applyFill="1" applyBorder="1"/>
    <xf numFmtId="42" fontId="10" fillId="0" borderId="12" xfId="0" applyNumberFormat="1" applyFont="1" applyFill="1" applyBorder="1"/>
    <xf numFmtId="42" fontId="10" fillId="0" borderId="78" xfId="0" applyNumberFormat="1" applyFont="1" applyFill="1" applyBorder="1"/>
    <xf numFmtId="42" fontId="10" fillId="0" borderId="33" xfId="0" applyNumberFormat="1" applyFont="1" applyFill="1" applyBorder="1"/>
    <xf numFmtId="42" fontId="10" fillId="0" borderId="2" xfId="0" applyNumberFormat="1" applyFont="1" applyFill="1" applyBorder="1"/>
    <xf numFmtId="41" fontId="10" fillId="0" borderId="66" xfId="0" applyNumberFormat="1" applyFont="1" applyFill="1" applyBorder="1"/>
    <xf numFmtId="43" fontId="10" fillId="0" borderId="66" xfId="0" applyNumberFormat="1" applyFont="1" applyFill="1" applyBorder="1"/>
    <xf numFmtId="0" fontId="43" fillId="2" borderId="71" xfId="0" applyFont="1" applyFill="1" applyBorder="1"/>
    <xf numFmtId="0" fontId="21" fillId="2" borderId="29" xfId="0" applyFont="1" applyFill="1" applyBorder="1"/>
    <xf numFmtId="0" fontId="10" fillId="0" borderId="0" xfId="0" applyFont="1" applyFill="1"/>
    <xf numFmtId="0" fontId="21" fillId="0" borderId="0" xfId="0" applyFont="1" applyBorder="1"/>
    <xf numFmtId="44" fontId="13" fillId="0" borderId="26" xfId="0" applyNumberFormat="1" applyFont="1" applyBorder="1"/>
    <xf numFmtId="44" fontId="13" fillId="0" borderId="79" xfId="1" applyNumberFormat="1" applyFont="1" applyBorder="1" applyAlignment="1">
      <alignment horizontal="center"/>
    </xf>
    <xf numFmtId="0" fontId="10" fillId="0" borderId="29" xfId="0" applyFont="1" applyFill="1" applyBorder="1"/>
    <xf numFmtId="0" fontId="10" fillId="0" borderId="1" xfId="0" applyFont="1" applyFill="1" applyBorder="1"/>
    <xf numFmtId="0" fontId="47" fillId="0" borderId="3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56" xfId="0" applyFont="1" applyFill="1" applyBorder="1"/>
    <xf numFmtId="0" fontId="10" fillId="0" borderId="34" xfId="0" applyFont="1" applyFill="1" applyBorder="1"/>
    <xf numFmtId="0" fontId="10" fillId="0" borderId="81" xfId="0" applyFont="1" applyFill="1" applyBorder="1"/>
    <xf numFmtId="0" fontId="10" fillId="0" borderId="17" xfId="0" applyFont="1" applyBorder="1"/>
    <xf numFmtId="0" fontId="10" fillId="0" borderId="8" xfId="0" applyFont="1" applyBorder="1"/>
    <xf numFmtId="0" fontId="10" fillId="0" borderId="59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10" fillId="0" borderId="63" xfId="0" applyFont="1" applyBorder="1"/>
    <xf numFmtId="0" fontId="10" fillId="0" borderId="36" xfId="0" applyFont="1" applyBorder="1"/>
    <xf numFmtId="0" fontId="10" fillId="0" borderId="65" xfId="0" applyFont="1" applyBorder="1"/>
    <xf numFmtId="0" fontId="10" fillId="0" borderId="38" xfId="0" applyFont="1" applyBorder="1"/>
    <xf numFmtId="4" fontId="10" fillId="0" borderId="0" xfId="0" applyNumberFormat="1" applyFont="1"/>
    <xf numFmtId="0" fontId="47" fillId="0" borderId="89" xfId="0" applyFont="1" applyFill="1" applyBorder="1"/>
    <xf numFmtId="44" fontId="13" fillId="0" borderId="40" xfId="0" applyNumberFormat="1" applyFont="1" applyBorder="1" applyAlignment="1">
      <alignment horizontal="center"/>
    </xf>
    <xf numFmtId="0" fontId="18" fillId="0" borderId="16" xfId="1" applyNumberFormat="1" applyFont="1" applyBorder="1" applyAlignment="1">
      <alignment horizontal="center" vertical="center"/>
    </xf>
    <xf numFmtId="0" fontId="23" fillId="0" borderId="16" xfId="0" applyFont="1" applyBorder="1"/>
    <xf numFmtId="0" fontId="50" fillId="0" borderId="0" xfId="0" applyFont="1"/>
    <xf numFmtId="0" fontId="10" fillId="0" borderId="109" xfId="0" applyFont="1" applyBorder="1"/>
    <xf numFmtId="0" fontId="10" fillId="0" borderId="42" xfId="0" applyFont="1" applyBorder="1" applyAlignment="1">
      <alignment horizontal="center"/>
    </xf>
    <xf numFmtId="0" fontId="10" fillId="0" borderId="52" xfId="0" applyFont="1" applyBorder="1"/>
    <xf numFmtId="0" fontId="10" fillId="0" borderId="73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1" fillId="0" borderId="109" xfId="0" applyFont="1" applyBorder="1" applyAlignment="1">
      <alignment horizontal="right"/>
    </xf>
    <xf numFmtId="0" fontId="21" fillId="0" borderId="42" xfId="0" applyFont="1" applyBorder="1" applyAlignment="1">
      <alignment horizontal="center"/>
    </xf>
    <xf numFmtId="0" fontId="21" fillId="0" borderId="52" xfId="0" applyFont="1" applyBorder="1" applyAlignment="1">
      <alignment horizontal="right"/>
    </xf>
    <xf numFmtId="0" fontId="21" fillId="0" borderId="73" xfId="0" applyFont="1" applyBorder="1" applyAlignment="1">
      <alignment horizontal="center"/>
    </xf>
    <xf numFmtId="0" fontId="21" fillId="0" borderId="43" xfId="0" applyFont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10" fillId="0" borderId="42" xfId="0" applyFont="1" applyBorder="1"/>
    <xf numFmtId="0" fontId="10" fillId="0" borderId="73" xfId="0" applyFont="1" applyBorder="1"/>
    <xf numFmtId="0" fontId="10" fillId="0" borderId="43" xfId="0" applyFont="1" applyBorder="1"/>
    <xf numFmtId="0" fontId="10" fillId="0" borderId="45" xfId="0" applyFont="1" applyBorder="1"/>
    <xf numFmtId="0" fontId="10" fillId="0" borderId="52" xfId="0" applyFont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44" fontId="23" fillId="0" borderId="16" xfId="0" applyNumberFormat="1" applyFont="1" applyFill="1" applyBorder="1"/>
    <xf numFmtId="43" fontId="10" fillId="0" borderId="64" xfId="0" applyNumberFormat="1" applyFont="1" applyBorder="1"/>
    <xf numFmtId="0" fontId="10" fillId="0" borderId="24" xfId="0" applyFont="1" applyFill="1" applyBorder="1"/>
    <xf numFmtId="0" fontId="10" fillId="0" borderId="8" xfId="0" applyFont="1" applyFill="1" applyBorder="1"/>
    <xf numFmtId="44" fontId="10" fillId="0" borderId="2" xfId="0" applyNumberFormat="1" applyFont="1" applyFill="1" applyBorder="1"/>
    <xf numFmtId="0" fontId="10" fillId="0" borderId="94" xfId="0" applyFont="1" applyBorder="1"/>
    <xf numFmtId="0" fontId="10" fillId="0" borderId="88" xfId="0" applyFont="1" applyBorder="1"/>
    <xf numFmtId="43" fontId="10" fillId="0" borderId="95" xfId="0" applyNumberFormat="1" applyFont="1" applyBorder="1"/>
    <xf numFmtId="0" fontId="10" fillId="0" borderId="96" xfId="0" applyFont="1" applyFill="1" applyBorder="1"/>
    <xf numFmtId="0" fontId="10" fillId="0" borderId="101" xfId="0" applyFont="1" applyFill="1" applyBorder="1"/>
    <xf numFmtId="0" fontId="10" fillId="0" borderId="105" xfId="0" applyFont="1" applyFill="1" applyBorder="1"/>
    <xf numFmtId="0" fontId="10" fillId="0" borderId="98" xfId="0" applyFont="1" applyBorder="1"/>
    <xf numFmtId="0" fontId="10" fillId="0" borderId="99" xfId="0" applyFont="1" applyBorder="1"/>
    <xf numFmtId="43" fontId="10" fillId="0" borderId="100" xfId="0" applyNumberFormat="1" applyFont="1" applyBorder="1"/>
    <xf numFmtId="42" fontId="10" fillId="0" borderId="26" xfId="0" applyNumberFormat="1" applyFont="1" applyBorder="1"/>
    <xf numFmtId="0" fontId="23" fillId="0" borderId="20" xfId="0" applyFont="1" applyFill="1" applyBorder="1"/>
    <xf numFmtId="0" fontId="13" fillId="0" borderId="70" xfId="0" applyFont="1" applyBorder="1" applyAlignment="1">
      <alignment horizontal="center"/>
    </xf>
    <xf numFmtId="44" fontId="13" fillId="0" borderId="74" xfId="0" applyNumberFormat="1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13" fillId="0" borderId="43" xfId="0" applyFont="1" applyFill="1" applyBorder="1" applyAlignment="1">
      <alignment horizontal="right"/>
    </xf>
    <xf numFmtId="0" fontId="23" fillId="0" borderId="23" xfId="0" applyFont="1" applyFill="1" applyBorder="1"/>
    <xf numFmtId="0" fontId="23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vertical="center" wrapText="1"/>
    </xf>
    <xf numFmtId="44" fontId="13" fillId="0" borderId="30" xfId="1" applyNumberFormat="1" applyFont="1" applyBorder="1" applyAlignment="1">
      <alignment horizontal="left"/>
    </xf>
    <xf numFmtId="44" fontId="13" fillId="0" borderId="30" xfId="0" applyNumberFormat="1" applyFont="1" applyBorder="1"/>
    <xf numFmtId="44" fontId="13" fillId="0" borderId="31" xfId="0" applyNumberFormat="1" applyFont="1" applyBorder="1"/>
    <xf numFmtId="0" fontId="13" fillId="0" borderId="47" xfId="0" applyFont="1" applyBorder="1"/>
    <xf numFmtId="0" fontId="51" fillId="0" borderId="0" xfId="0" applyFont="1"/>
    <xf numFmtId="44" fontId="13" fillId="0" borderId="46" xfId="0" applyNumberFormat="1" applyFont="1" applyBorder="1"/>
    <xf numFmtId="0" fontId="13" fillId="0" borderId="52" xfId="0" applyFont="1" applyBorder="1"/>
    <xf numFmtId="0" fontId="13" fillId="0" borderId="20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 wrapText="1"/>
    </xf>
    <xf numFmtId="44" fontId="13" fillId="0" borderId="84" xfId="1" applyNumberFormat="1" applyFont="1" applyBorder="1" applyAlignment="1"/>
    <xf numFmtId="0" fontId="23" fillId="0" borderId="16" xfId="0" applyFont="1" applyFill="1" applyBorder="1" applyAlignment="1">
      <alignment horizontal="left" vertical="top"/>
    </xf>
    <xf numFmtId="0" fontId="23" fillId="0" borderId="19" xfId="0" applyFont="1" applyBorder="1" applyAlignment="1">
      <alignment horizontal="left"/>
    </xf>
    <xf numFmtId="44" fontId="23" fillId="0" borderId="19" xfId="0" applyNumberFormat="1" applyFont="1" applyBorder="1"/>
    <xf numFmtId="44" fontId="35" fillId="0" borderId="16" xfId="0" applyNumberFormat="1" applyFont="1" applyBorder="1"/>
    <xf numFmtId="44" fontId="35" fillId="0" borderId="19" xfId="0" applyNumberFormat="1" applyFont="1" applyBorder="1"/>
    <xf numFmtId="0" fontId="13" fillId="0" borderId="19" xfId="0" applyFont="1" applyBorder="1" applyAlignment="1">
      <alignment horizontal="left"/>
    </xf>
    <xf numFmtId="44" fontId="13" fillId="0" borderId="76" xfId="0" applyNumberFormat="1" applyFont="1" applyBorder="1" applyAlignment="1">
      <alignment horizontal="center"/>
    </xf>
    <xf numFmtId="44" fontId="10" fillId="0" borderId="79" xfId="0" applyNumberFormat="1" applyFont="1" applyBorder="1" applyAlignment="1">
      <alignment horizontal="center"/>
    </xf>
    <xf numFmtId="44" fontId="10" fillId="0" borderId="26" xfId="0" applyNumberFormat="1" applyFont="1" applyBorder="1" applyAlignment="1">
      <alignment horizontal="center"/>
    </xf>
    <xf numFmtId="0" fontId="22" fillId="0" borderId="16" xfId="0" applyFont="1" applyBorder="1" applyAlignment="1"/>
    <xf numFmtId="0" fontId="27" fillId="0" borderId="52" xfId="0" applyFont="1" applyBorder="1"/>
    <xf numFmtId="44" fontId="13" fillId="0" borderId="26" xfId="1" applyNumberFormat="1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44" fontId="10" fillId="0" borderId="3" xfId="0" applyNumberFormat="1" applyFont="1" applyFill="1" applyBorder="1"/>
    <xf numFmtId="44" fontId="10" fillId="0" borderId="24" xfId="0" applyNumberFormat="1" applyFont="1" applyFill="1" applyBorder="1"/>
    <xf numFmtId="44" fontId="10" fillId="0" borderId="6" xfId="0" applyNumberFormat="1" applyFont="1" applyFill="1" applyBorder="1"/>
    <xf numFmtId="0" fontId="10" fillId="0" borderId="11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08" xfId="0" applyFont="1" applyBorder="1" applyAlignment="1">
      <alignment horizontal="center"/>
    </xf>
    <xf numFmtId="44" fontId="13" fillId="0" borderId="26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4" fontId="13" fillId="0" borderId="3" xfId="0" applyNumberFormat="1" applyFont="1" applyBorder="1" applyAlignment="1">
      <alignment horizontal="center" vertical="center"/>
    </xf>
    <xf numFmtId="44" fontId="13" fillId="0" borderId="2" xfId="0" applyNumberFormat="1" applyFont="1" applyBorder="1" applyAlignment="1">
      <alignment horizontal="center" vertical="center"/>
    </xf>
    <xf numFmtId="44" fontId="13" fillId="0" borderId="2" xfId="0" applyNumberFormat="1" applyFont="1" applyFill="1" applyBorder="1" applyAlignment="1">
      <alignment horizontal="center" vertical="center"/>
    </xf>
    <xf numFmtId="44" fontId="23" fillId="0" borderId="3" xfId="0" applyNumberFormat="1" applyFont="1" applyBorder="1" applyAlignment="1">
      <alignment horizontal="center" vertical="center"/>
    </xf>
    <xf numFmtId="0" fontId="10" fillId="0" borderId="11" xfId="0" applyFont="1" applyFill="1" applyBorder="1"/>
    <xf numFmtId="0" fontId="10" fillId="7" borderId="0" xfId="0" applyFont="1" applyFill="1"/>
    <xf numFmtId="44" fontId="12" fillId="0" borderId="39" xfId="0" applyNumberFormat="1" applyFont="1" applyBorder="1" applyAlignment="1">
      <alignment horizontal="right"/>
    </xf>
    <xf numFmtId="0" fontId="10" fillId="0" borderId="107" xfId="0" applyFont="1" applyFill="1" applyBorder="1"/>
    <xf numFmtId="0" fontId="10" fillId="0" borderId="103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3" fillId="0" borderId="22" xfId="0" applyFont="1" applyFill="1" applyBorder="1"/>
    <xf numFmtId="0" fontId="13" fillId="0" borderId="74" xfId="0" applyFont="1" applyBorder="1" applyAlignment="1">
      <alignment horizontal="center" vertical="center"/>
    </xf>
    <xf numFmtId="43" fontId="10" fillId="0" borderId="97" xfId="0" applyNumberFormat="1" applyFont="1" applyFill="1" applyBorder="1"/>
    <xf numFmtId="44" fontId="13" fillId="0" borderId="30" xfId="1" applyNumberFormat="1" applyFont="1" applyFill="1" applyBorder="1"/>
    <xf numFmtId="44" fontId="10" fillId="0" borderId="26" xfId="0" applyNumberFormat="1" applyFont="1" applyBorder="1"/>
    <xf numFmtId="43" fontId="10" fillId="0" borderId="102" xfId="0" applyNumberFormat="1" applyFont="1" applyFill="1" applyBorder="1"/>
    <xf numFmtId="43" fontId="10" fillId="0" borderId="106" xfId="0" applyNumberFormat="1" applyFont="1" applyFill="1" applyBorder="1"/>
    <xf numFmtId="43" fontId="10" fillId="0" borderId="104" xfId="0" applyNumberFormat="1" applyFont="1" applyFill="1" applyBorder="1"/>
    <xf numFmtId="44" fontId="13" fillId="0" borderId="16" xfId="0" applyNumberFormat="1" applyFont="1" applyBorder="1" applyAlignment="1">
      <alignment vertical="center"/>
    </xf>
    <xf numFmtId="0" fontId="13" fillId="3" borderId="26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44" fontId="50" fillId="0" borderId="2" xfId="0" applyNumberFormat="1" applyFont="1" applyFill="1" applyBorder="1"/>
    <xf numFmtId="0" fontId="13" fillId="0" borderId="69" xfId="0" applyFont="1" applyBorder="1" applyAlignment="1">
      <alignment horizontal="left"/>
    </xf>
    <xf numFmtId="44" fontId="13" fillId="0" borderId="69" xfId="1" applyFont="1" applyBorder="1"/>
    <xf numFmtId="0" fontId="18" fillId="0" borderId="19" xfId="0" applyFont="1" applyBorder="1" applyAlignment="1">
      <alignment horizontal="center"/>
    </xf>
    <xf numFmtId="0" fontId="18" fillId="0" borderId="19" xfId="1" applyNumberFormat="1" applyFont="1" applyBorder="1" applyAlignment="1">
      <alignment horizontal="center"/>
    </xf>
    <xf numFmtId="44" fontId="16" fillId="0" borderId="2" xfId="1" applyNumberFormat="1" applyFont="1" applyFill="1" applyBorder="1"/>
    <xf numFmtId="0" fontId="23" fillId="0" borderId="20" xfId="0" applyFont="1" applyBorder="1" applyAlignment="1">
      <alignment wrapText="1"/>
    </xf>
    <xf numFmtId="0" fontId="23" fillId="0" borderId="20" xfId="0" applyFont="1" applyBorder="1" applyAlignment="1">
      <alignment horizontal="center"/>
    </xf>
    <xf numFmtId="0" fontId="23" fillId="0" borderId="20" xfId="0" applyFont="1" applyBorder="1"/>
    <xf numFmtId="0" fontId="23" fillId="0" borderId="46" xfId="0" applyFont="1" applyBorder="1" applyAlignment="1">
      <alignment horizontal="left"/>
    </xf>
    <xf numFmtId="44" fontId="13" fillId="0" borderId="1" xfId="0" applyNumberFormat="1" applyFont="1" applyBorder="1" applyAlignment="1">
      <alignment horizontal="left" vertical="center"/>
    </xf>
    <xf numFmtId="0" fontId="10" fillId="0" borderId="71" xfId="0" applyFont="1" applyFill="1" applyBorder="1"/>
    <xf numFmtId="166" fontId="10" fillId="0" borderId="1" xfId="0" applyNumberFormat="1" applyFont="1" applyFill="1" applyBorder="1" applyAlignment="1">
      <alignment horizontal="right"/>
    </xf>
    <xf numFmtId="166" fontId="10" fillId="0" borderId="20" xfId="0" applyNumberFormat="1" applyFont="1" applyFill="1" applyBorder="1" applyAlignment="1">
      <alignment horizontal="right"/>
    </xf>
    <xf numFmtId="44" fontId="10" fillId="0" borderId="0" xfId="0" applyNumberFormat="1" applyFont="1" applyFill="1"/>
    <xf numFmtId="44" fontId="10" fillId="0" borderId="0" xfId="0" applyNumberFormat="1" applyFont="1" applyBorder="1"/>
    <xf numFmtId="44" fontId="10" fillId="0" borderId="0" xfId="0" applyNumberFormat="1" applyFont="1" applyFill="1" applyBorder="1"/>
    <xf numFmtId="0" fontId="49" fillId="0" borderId="0" xfId="0" applyFont="1" applyFill="1" applyBorder="1"/>
    <xf numFmtId="0" fontId="10" fillId="0" borderId="1" xfId="0" applyFont="1" applyFill="1" applyBorder="1" applyAlignment="1">
      <alignment wrapText="1"/>
    </xf>
    <xf numFmtId="44" fontId="10" fillId="0" borderId="57" xfId="0" applyNumberFormat="1" applyFont="1" applyBorder="1"/>
    <xf numFmtId="44" fontId="12" fillId="0" borderId="3" xfId="0" applyNumberFormat="1" applyFont="1" applyFill="1" applyBorder="1"/>
    <xf numFmtId="44" fontId="10" fillId="0" borderId="3" xfId="0" applyNumberFormat="1" applyFont="1" applyFill="1" applyBorder="1" applyAlignment="1">
      <alignment horizontal="center"/>
    </xf>
    <xf numFmtId="44" fontId="10" fillId="0" borderId="58" xfId="0" applyNumberFormat="1" applyFont="1" applyFill="1" applyBorder="1"/>
    <xf numFmtId="44" fontId="10" fillId="0" borderId="60" xfId="0" applyNumberFormat="1" applyFont="1" applyBorder="1"/>
    <xf numFmtId="0" fontId="10" fillId="0" borderId="28" xfId="0" applyFont="1" applyBorder="1"/>
    <xf numFmtId="0" fontId="10" fillId="0" borderId="4" xfId="0" applyFont="1" applyBorder="1"/>
    <xf numFmtId="0" fontId="10" fillId="0" borderId="53" xfId="0" applyFont="1" applyBorder="1"/>
    <xf numFmtId="0" fontId="10" fillId="0" borderId="72" xfId="0" applyFont="1" applyBorder="1"/>
    <xf numFmtId="0" fontId="12" fillId="0" borderId="72" xfId="0" applyFont="1" applyBorder="1"/>
    <xf numFmtId="0" fontId="10" fillId="0" borderId="113" xfId="0" applyFont="1" applyBorder="1"/>
    <xf numFmtId="0" fontId="10" fillId="0" borderId="29" xfId="0" applyFont="1" applyBorder="1"/>
    <xf numFmtId="0" fontId="21" fillId="0" borderId="3" xfId="0" applyFont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16" fillId="3" borderId="32" xfId="0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44" fontId="13" fillId="0" borderId="16" xfId="0" applyNumberFormat="1" applyFont="1" applyFill="1" applyBorder="1" applyAlignment="1">
      <alignment horizontal="center"/>
    </xf>
    <xf numFmtId="44" fontId="13" fillId="0" borderId="16" xfId="0" applyNumberFormat="1" applyFont="1" applyFill="1" applyBorder="1" applyAlignment="1">
      <alignment vertical="center"/>
    </xf>
    <xf numFmtId="44" fontId="13" fillId="0" borderId="16" xfId="1" applyFont="1" applyFill="1" applyBorder="1"/>
    <xf numFmtId="42" fontId="0" fillId="0" borderId="13" xfId="0" applyNumberFormat="1" applyBorder="1"/>
    <xf numFmtId="0" fontId="2" fillId="0" borderId="0" xfId="2" applyFont="1" applyBorder="1"/>
    <xf numFmtId="0" fontId="10" fillId="0" borderId="114" xfId="0" applyFont="1" applyFill="1" applyBorder="1"/>
    <xf numFmtId="0" fontId="10" fillId="0" borderId="89" xfId="0" applyFont="1" applyFill="1" applyBorder="1"/>
    <xf numFmtId="43" fontId="10" fillId="0" borderId="119" xfId="0" applyNumberFormat="1" applyFont="1" applyFill="1" applyBorder="1"/>
    <xf numFmtId="1" fontId="10" fillId="0" borderId="3" xfId="0" applyNumberFormat="1" applyFont="1" applyFill="1" applyBorder="1"/>
    <xf numFmtId="1" fontId="10" fillId="0" borderId="3" xfId="0" applyNumberFormat="1" applyFont="1" applyBorder="1"/>
    <xf numFmtId="1" fontId="10" fillId="0" borderId="89" xfId="0" applyNumberFormat="1" applyFont="1" applyBorder="1"/>
    <xf numFmtId="2" fontId="10" fillId="0" borderId="3" xfId="0" applyNumberFormat="1" applyFont="1" applyFill="1" applyBorder="1"/>
    <xf numFmtId="2" fontId="10" fillId="0" borderId="11" xfId="0" applyNumberFormat="1" applyFont="1" applyFill="1" applyBorder="1"/>
    <xf numFmtId="2" fontId="10" fillId="0" borderId="89" xfId="0" applyNumberFormat="1" applyFont="1" applyBorder="1"/>
    <xf numFmtId="164" fontId="10" fillId="0" borderId="35" xfId="0" applyNumberFormat="1" applyFont="1" applyBorder="1"/>
    <xf numFmtId="164" fontId="10" fillId="0" borderId="90" xfId="0" applyNumberFormat="1" applyFont="1" applyBorder="1"/>
    <xf numFmtId="3" fontId="10" fillId="0" borderId="35" xfId="0" applyNumberFormat="1" applyFont="1" applyBorder="1"/>
    <xf numFmtId="44" fontId="13" fillId="0" borderId="22" xfId="1" applyNumberFormat="1" applyFont="1" applyBorder="1" applyAlignment="1">
      <alignment horizontal="left"/>
    </xf>
    <xf numFmtId="44" fontId="13" fillId="0" borderId="30" xfId="1" applyNumberFormat="1" applyFont="1" applyBorder="1"/>
    <xf numFmtId="0" fontId="13" fillId="0" borderId="31" xfId="0" applyFont="1" applyBorder="1"/>
    <xf numFmtId="0" fontId="18" fillId="3" borderId="32" xfId="0" applyFont="1" applyFill="1" applyBorder="1" applyAlignment="1">
      <alignment horizontal="center"/>
    </xf>
    <xf numFmtId="0" fontId="19" fillId="3" borderId="32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3" fillId="0" borderId="40" xfId="0" applyFont="1" applyBorder="1" applyAlignment="1">
      <alignment horizontal="left"/>
    </xf>
    <xf numFmtId="0" fontId="16" fillId="0" borderId="3" xfId="0" applyFont="1" applyFill="1" applyBorder="1"/>
    <xf numFmtId="44" fontId="13" fillId="0" borderId="16" xfId="1" applyNumberFormat="1" applyFont="1" applyFill="1" applyBorder="1" applyAlignment="1">
      <alignment horizontal="left"/>
    </xf>
    <xf numFmtId="0" fontId="10" fillId="0" borderId="68" xfId="0" applyFont="1" applyFill="1" applyBorder="1" applyAlignment="1">
      <alignment horizontal="center"/>
    </xf>
    <xf numFmtId="44" fontId="10" fillId="0" borderId="68" xfId="0" applyNumberFormat="1" applyFon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2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22" xfId="0" applyFill="1" applyBorder="1" applyAlignment="1">
      <alignment horizontal="center"/>
    </xf>
    <xf numFmtId="44" fontId="51" fillId="8" borderId="15" xfId="0" applyNumberFormat="1" applyFont="1" applyFill="1" applyBorder="1"/>
    <xf numFmtId="44" fontId="10" fillId="8" borderId="2" xfId="0" applyNumberFormat="1" applyFont="1" applyFill="1" applyBorder="1"/>
    <xf numFmtId="43" fontId="10" fillId="8" borderId="97" xfId="0" applyNumberFormat="1" applyFont="1" applyFill="1" applyBorder="1"/>
    <xf numFmtId="43" fontId="10" fillId="8" borderId="115" xfId="0" applyNumberFormat="1" applyFont="1" applyFill="1" applyBorder="1"/>
    <xf numFmtId="44" fontId="13" fillId="0" borderId="0" xfId="0" applyNumberFormat="1" applyFont="1" applyBorder="1"/>
    <xf numFmtId="0" fontId="13" fillId="0" borderId="30" xfId="0" applyFont="1" applyBorder="1" applyAlignment="1">
      <alignment horizontal="left"/>
    </xf>
    <xf numFmtId="1" fontId="10" fillId="3" borderId="3" xfId="0" applyNumberFormat="1" applyFont="1" applyFill="1" applyBorder="1"/>
    <xf numFmtId="2" fontId="10" fillId="3" borderId="3" xfId="0" applyNumberFormat="1" applyFont="1" applyFill="1" applyBorder="1"/>
    <xf numFmtId="166" fontId="10" fillId="0" borderId="1" xfId="0" applyNumberFormat="1" applyFont="1" applyFill="1" applyBorder="1"/>
    <xf numFmtId="0" fontId="13" fillId="0" borderId="1" xfId="0" applyFont="1" applyBorder="1"/>
    <xf numFmtId="44" fontId="13" fillId="0" borderId="76" xfId="0" applyNumberFormat="1" applyFont="1" applyFill="1" applyBorder="1"/>
    <xf numFmtId="0" fontId="5" fillId="0" borderId="47" xfId="0" applyFont="1" applyFill="1" applyBorder="1" applyAlignment="1"/>
    <xf numFmtId="44" fontId="5" fillId="0" borderId="49" xfId="0" applyNumberFormat="1" applyFont="1" applyFill="1" applyBorder="1" applyAlignment="1"/>
    <xf numFmtId="42" fontId="0" fillId="0" borderId="0" xfId="0" applyNumberFormat="1" applyBorder="1"/>
    <xf numFmtId="42" fontId="31" fillId="0" borderId="0" xfId="0" applyNumberFormat="1" applyFont="1"/>
    <xf numFmtId="42" fontId="0" fillId="0" borderId="110" xfId="0" applyNumberFormat="1" applyBorder="1" applyAlignment="1">
      <alignment vertical="center"/>
    </xf>
    <xf numFmtId="0" fontId="10" fillId="0" borderId="17" xfId="0" applyNumberFormat="1" applyFont="1" applyBorder="1" applyAlignment="1">
      <alignment horizontal="center"/>
    </xf>
    <xf numFmtId="42" fontId="43" fillId="0" borderId="48" xfId="0" applyNumberFormat="1" applyFont="1" applyBorder="1"/>
    <xf numFmtId="0" fontId="10" fillId="0" borderId="47" xfId="0" applyNumberFormat="1" applyFont="1" applyBorder="1" applyAlignment="1">
      <alignment horizontal="center"/>
    </xf>
    <xf numFmtId="0" fontId="10" fillId="0" borderId="48" xfId="0" applyFont="1" applyBorder="1"/>
    <xf numFmtId="44" fontId="10" fillId="0" borderId="3" xfId="0" applyNumberFormat="1" applyFont="1" applyBorder="1"/>
    <xf numFmtId="0" fontId="22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13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54" fillId="0" borderId="0" xfId="0" applyFont="1"/>
    <xf numFmtId="42" fontId="54" fillId="0" borderId="13" xfId="0" applyNumberFormat="1" applyFont="1" applyBorder="1"/>
    <xf numFmtId="42" fontId="54" fillId="0" borderId="0" xfId="0" applyNumberFormat="1" applyFont="1" applyFill="1" applyBorder="1" applyAlignment="1">
      <alignment horizontal="left"/>
    </xf>
    <xf numFmtId="42" fontId="54" fillId="0" borderId="0" xfId="0" applyNumberFormat="1" applyFont="1"/>
    <xf numFmtId="42" fontId="53" fillId="0" borderId="123" xfId="0" applyNumberFormat="1" applyFont="1" applyBorder="1" applyAlignment="1">
      <alignment horizontal="left" vertical="center"/>
    </xf>
    <xf numFmtId="42" fontId="54" fillId="0" borderId="3" xfId="0" applyNumberFormat="1" applyFont="1" applyBorder="1" applyAlignment="1">
      <alignment horizontal="left"/>
    </xf>
    <xf numFmtId="42" fontId="54" fillId="0" borderId="3" xfId="0" applyNumberFormat="1" applyFont="1" applyFill="1" applyBorder="1" applyAlignment="1">
      <alignment horizontal="left"/>
    </xf>
    <xf numFmtId="42" fontId="54" fillId="0" borderId="3" xfId="0" applyNumberFormat="1" applyFont="1" applyFill="1" applyBorder="1" applyAlignment="1"/>
    <xf numFmtId="42" fontId="54" fillId="0" borderId="99" xfId="0" applyNumberFormat="1" applyFont="1" applyBorder="1" applyAlignment="1">
      <alignment horizontal="left" vertical="center"/>
    </xf>
    <xf numFmtId="42" fontId="54" fillId="0" borderId="6" xfId="0" applyNumberFormat="1" applyFont="1" applyBorder="1" applyAlignment="1">
      <alignment horizontal="left"/>
    </xf>
    <xf numFmtId="42" fontId="54" fillId="0" borderId="24" xfId="0" applyNumberFormat="1" applyFont="1" applyBorder="1" applyAlignment="1">
      <alignment horizontal="left"/>
    </xf>
    <xf numFmtId="42" fontId="54" fillId="0" borderId="24" xfId="0" applyNumberFormat="1" applyFont="1" applyFill="1" applyBorder="1" applyAlignment="1">
      <alignment horizontal="left"/>
    </xf>
    <xf numFmtId="42" fontId="54" fillId="0" borderId="6" xfId="0" applyNumberFormat="1" applyFont="1" applyFill="1" applyBorder="1" applyAlignment="1">
      <alignment horizontal="left"/>
    </xf>
    <xf numFmtId="44" fontId="13" fillId="0" borderId="16" xfId="1" applyNumberFormat="1" applyFont="1" applyFill="1" applyBorder="1" applyAlignment="1">
      <alignment horizontal="center"/>
    </xf>
    <xf numFmtId="44" fontId="13" fillId="0" borderId="19" xfId="1" applyFont="1" applyFill="1" applyBorder="1" applyAlignment="1">
      <alignment horizontal="left"/>
    </xf>
    <xf numFmtId="44" fontId="13" fillId="0" borderId="46" xfId="0" applyNumberFormat="1" applyFont="1" applyFill="1" applyBorder="1"/>
    <xf numFmtId="0" fontId="18" fillId="0" borderId="16" xfId="0" applyFont="1" applyFill="1" applyBorder="1" applyAlignment="1">
      <alignment horizontal="center" vertical="center"/>
    </xf>
    <xf numFmtId="42" fontId="54" fillId="0" borderId="48" xfId="0" applyNumberFormat="1" applyFont="1" applyBorder="1"/>
    <xf numFmtId="0" fontId="15" fillId="0" borderId="13" xfId="0" applyFont="1" applyBorder="1" applyAlignment="1">
      <alignment vertical="top"/>
    </xf>
    <xf numFmtId="42" fontId="54" fillId="0" borderId="8" xfId="0" applyNumberFormat="1" applyFont="1" applyFill="1" applyBorder="1" applyAlignment="1">
      <alignment horizontal="left"/>
    </xf>
    <xf numFmtId="0" fontId="6" fillId="0" borderId="26" xfId="2" applyFont="1" applyBorder="1" applyAlignment="1">
      <alignment horizontal="center"/>
    </xf>
    <xf numFmtId="0" fontId="5" fillId="0" borderId="26" xfId="2" applyFont="1" applyBorder="1" applyAlignment="1"/>
    <xf numFmtId="0" fontId="14" fillId="0" borderId="47" xfId="0" applyFont="1" applyBorder="1" applyAlignment="1">
      <alignment horizontal="center" vertical="center"/>
    </xf>
    <xf numFmtId="0" fontId="40" fillId="0" borderId="0" xfId="0" applyFont="1" applyAlignment="1"/>
    <xf numFmtId="0" fontId="10" fillId="0" borderId="124" xfId="0" applyFont="1" applyBorder="1" applyAlignment="1">
      <alignment horizontal="center"/>
    </xf>
    <xf numFmtId="0" fontId="22" fillId="0" borderId="125" xfId="0" applyFont="1" applyBorder="1" applyAlignment="1">
      <alignment horizontal="center"/>
    </xf>
    <xf numFmtId="44" fontId="10" fillId="0" borderId="121" xfId="0" applyNumberFormat="1" applyFont="1" applyFill="1" applyBorder="1" applyAlignment="1">
      <alignment horizontal="center"/>
    </xf>
    <xf numFmtId="0" fontId="10" fillId="0" borderId="121" xfId="0" applyFont="1" applyFill="1" applyBorder="1" applyAlignment="1">
      <alignment horizontal="center"/>
    </xf>
    <xf numFmtId="42" fontId="10" fillId="0" borderId="16" xfId="0" applyNumberFormat="1" applyFont="1" applyFill="1" applyBorder="1"/>
    <xf numFmtId="2" fontId="10" fillId="0" borderId="8" xfId="0" applyNumberFormat="1" applyFont="1" applyFill="1" applyBorder="1"/>
    <xf numFmtId="164" fontId="10" fillId="0" borderId="35" xfId="0" applyNumberFormat="1" applyFont="1" applyFill="1" applyBorder="1"/>
    <xf numFmtId="0" fontId="16" fillId="0" borderId="0" xfId="0" applyFont="1" applyFill="1" applyAlignment="1">
      <alignment horizontal="right"/>
    </xf>
    <xf numFmtId="2" fontId="0" fillId="0" borderId="0" xfId="0" applyNumberFormat="1"/>
    <xf numFmtId="164" fontId="5" fillId="0" borderId="26" xfId="2" applyNumberFormat="1" applyFont="1" applyBorder="1" applyAlignment="1">
      <alignment horizontal="center"/>
    </xf>
    <xf numFmtId="2" fontId="10" fillId="0" borderId="24" xfId="0" applyNumberFormat="1" applyFont="1" applyFill="1" applyBorder="1"/>
    <xf numFmtId="2" fontId="10" fillId="0" borderId="6" xfId="0" applyNumberFormat="1" applyFont="1" applyFill="1" applyBorder="1"/>
    <xf numFmtId="43" fontId="16" fillId="0" borderId="0" xfId="0" applyNumberFormat="1" applyFont="1" applyBorder="1"/>
    <xf numFmtId="0" fontId="19" fillId="3" borderId="25" xfId="0" applyFont="1" applyFill="1" applyBorder="1" applyAlignment="1">
      <alignment horizontal="center" vertical="center"/>
    </xf>
    <xf numFmtId="42" fontId="13" fillId="0" borderId="16" xfId="0" applyNumberFormat="1" applyFont="1" applyFill="1" applyBorder="1" applyAlignment="1">
      <alignment vertical="center"/>
    </xf>
    <xf numFmtId="42" fontId="13" fillId="0" borderId="16" xfId="0" applyNumberFormat="1" applyFont="1" applyBorder="1" applyAlignment="1">
      <alignment vertical="center"/>
    </xf>
    <xf numFmtId="42" fontId="13" fillId="0" borderId="16" xfId="0" applyNumberFormat="1" applyFont="1" applyBorder="1"/>
    <xf numFmtId="42" fontId="13" fillId="0" borderId="16" xfId="0" applyNumberFormat="1" applyFont="1" applyFill="1" applyBorder="1"/>
    <xf numFmtId="42" fontId="13" fillId="0" borderId="46" xfId="0" applyNumberFormat="1" applyFont="1" applyBorder="1"/>
    <xf numFmtId="42" fontId="13" fillId="0" borderId="46" xfId="0" applyNumberFormat="1" applyFont="1" applyFill="1" applyBorder="1"/>
    <xf numFmtId="42" fontId="13" fillId="0" borderId="26" xfId="0" applyNumberFormat="1" applyFont="1" applyBorder="1" applyAlignment="1">
      <alignment horizontal="center"/>
    </xf>
    <xf numFmtId="42" fontId="13" fillId="0" borderId="26" xfId="0" applyNumberFormat="1" applyFont="1" applyFill="1" applyBorder="1" applyAlignment="1">
      <alignment horizontal="center"/>
    </xf>
    <xf numFmtId="42" fontId="25" fillId="0" borderId="0" xfId="0" applyNumberFormat="1" applyFont="1" applyFill="1" applyBorder="1"/>
    <xf numFmtId="42" fontId="19" fillId="0" borderId="0" xfId="0" applyNumberFormat="1" applyFont="1" applyFill="1" applyBorder="1" applyAlignment="1">
      <alignment vertical="center"/>
    </xf>
    <xf numFmtId="42" fontId="19" fillId="0" borderId="0" xfId="0" applyNumberFormat="1" applyFont="1" applyFill="1" applyBorder="1"/>
    <xf numFmtId="42" fontId="19" fillId="0" borderId="0" xfId="0" applyNumberFormat="1" applyFont="1" applyBorder="1"/>
    <xf numFmtId="42" fontId="13" fillId="0" borderId="16" xfId="0" applyNumberFormat="1" applyFont="1" applyFill="1" applyBorder="1" applyAlignment="1">
      <alignment horizontal="center"/>
    </xf>
    <xf numFmtId="42" fontId="13" fillId="0" borderId="16" xfId="0" applyNumberFormat="1" applyFont="1" applyBorder="1" applyAlignment="1">
      <alignment horizontal="center"/>
    </xf>
    <xf numFmtId="42" fontId="13" fillId="0" borderId="19" xfId="0" applyNumberFormat="1" applyFont="1" applyBorder="1" applyAlignment="1">
      <alignment horizontal="center"/>
    </xf>
    <xf numFmtId="42" fontId="13" fillId="0" borderId="19" xfId="0" applyNumberFormat="1" applyFont="1" applyFill="1" applyBorder="1" applyAlignment="1">
      <alignment horizontal="center"/>
    </xf>
    <xf numFmtId="42" fontId="13" fillId="0" borderId="21" xfId="0" applyNumberFormat="1" applyFont="1" applyBorder="1" applyAlignment="1">
      <alignment horizontal="center"/>
    </xf>
    <xf numFmtId="42" fontId="13" fillId="0" borderId="21" xfId="0" applyNumberFormat="1" applyFont="1" applyFill="1" applyBorder="1" applyAlignment="1">
      <alignment horizontal="center"/>
    </xf>
    <xf numFmtId="42" fontId="16" fillId="0" borderId="0" xfId="0" applyNumberFormat="1" applyFont="1" applyBorder="1"/>
    <xf numFmtId="44" fontId="55" fillId="0" borderId="16" xfId="1" applyFont="1" applyBorder="1" applyAlignment="1">
      <alignment horizontal="center" wrapText="1"/>
    </xf>
    <xf numFmtId="44" fontId="55" fillId="0" borderId="20" xfId="1" applyFont="1" applyBorder="1" applyAlignment="1">
      <alignment horizontal="center" wrapText="1"/>
    </xf>
    <xf numFmtId="44" fontId="55" fillId="0" borderId="1" xfId="1" applyFont="1" applyBorder="1" applyAlignment="1">
      <alignment horizontal="center"/>
    </xf>
    <xf numFmtId="44" fontId="55" fillId="0" borderId="2" xfId="1" applyFont="1" applyBorder="1" applyAlignment="1">
      <alignment horizontal="center"/>
    </xf>
    <xf numFmtId="44" fontId="13" fillId="0" borderId="20" xfId="0" applyNumberFormat="1" applyFont="1" applyBorder="1" applyAlignment="1">
      <alignment horizontal="center"/>
    </xf>
    <xf numFmtId="42" fontId="13" fillId="0" borderId="20" xfId="0" applyNumberFormat="1" applyFont="1" applyBorder="1" applyAlignment="1">
      <alignment horizontal="center"/>
    </xf>
    <xf numFmtId="42" fontId="13" fillId="0" borderId="1" xfId="0" applyNumberFormat="1" applyFont="1" applyBorder="1" applyAlignment="1">
      <alignment horizontal="center"/>
    </xf>
    <xf numFmtId="42" fontId="13" fillId="0" borderId="2" xfId="0" applyNumberFormat="1" applyFont="1" applyBorder="1" applyAlignment="1">
      <alignment horizontal="center"/>
    </xf>
    <xf numFmtId="42" fontId="13" fillId="9" borderId="1" xfId="0" applyNumberFormat="1" applyFont="1" applyFill="1" applyBorder="1" applyAlignment="1">
      <alignment horizontal="center"/>
    </xf>
    <xf numFmtId="42" fontId="13" fillId="9" borderId="2" xfId="0" applyNumberFormat="1" applyFont="1" applyFill="1" applyBorder="1" applyAlignment="1">
      <alignment horizontal="center"/>
    </xf>
    <xf numFmtId="44" fontId="13" fillId="0" borderId="20" xfId="0" applyNumberFormat="1" applyFont="1" applyBorder="1"/>
    <xf numFmtId="42" fontId="13" fillId="0" borderId="0" xfId="0" applyNumberFormat="1" applyFont="1" applyBorder="1"/>
    <xf numFmtId="42" fontId="13" fillId="9" borderId="1" xfId="0" applyNumberFormat="1" applyFont="1" applyFill="1" applyBorder="1"/>
    <xf numFmtId="42" fontId="13" fillId="9" borderId="2" xfId="0" applyNumberFormat="1" applyFont="1" applyFill="1" applyBorder="1"/>
    <xf numFmtId="42" fontId="13" fillId="0" borderId="22" xfId="0" applyNumberFormat="1" applyFont="1" applyBorder="1" applyAlignment="1">
      <alignment horizontal="center" wrapText="1"/>
    </xf>
    <xf numFmtId="42" fontId="4" fillId="0" borderId="87" xfId="0" applyNumberFormat="1" applyFont="1" applyBorder="1" applyAlignment="1">
      <alignment horizontal="center" wrapText="1"/>
    </xf>
    <xf numFmtId="42" fontId="13" fillId="0" borderId="1" xfId="0" applyNumberFormat="1" applyFont="1" applyFill="1" applyBorder="1"/>
    <xf numFmtId="42" fontId="13" fillId="0" borderId="2" xfId="0" applyNumberFormat="1" applyFont="1" applyFill="1" applyBorder="1"/>
    <xf numFmtId="44" fontId="13" fillId="0" borderId="1" xfId="0" applyNumberFormat="1" applyFont="1" applyBorder="1"/>
    <xf numFmtId="42" fontId="13" fillId="0" borderId="1" xfId="0" applyNumberFormat="1" applyFont="1" applyBorder="1"/>
    <xf numFmtId="0" fontId="13" fillId="0" borderId="52" xfId="0" applyFont="1" applyBorder="1" applyAlignment="1"/>
    <xf numFmtId="44" fontId="13" fillId="0" borderId="40" xfId="0" applyNumberFormat="1" applyFont="1" applyBorder="1"/>
    <xf numFmtId="44" fontId="13" fillId="0" borderId="52" xfId="0" applyNumberFormat="1" applyFont="1" applyBorder="1"/>
    <xf numFmtId="42" fontId="13" fillId="0" borderId="52" xfId="0" applyNumberFormat="1" applyFont="1" applyBorder="1"/>
    <xf numFmtId="42" fontId="13" fillId="0" borderId="92" xfId="0" applyNumberFormat="1" applyFont="1" applyFill="1" applyBorder="1"/>
    <xf numFmtId="42" fontId="13" fillId="0" borderId="93" xfId="0" applyNumberFormat="1" applyFont="1" applyFill="1" applyBorder="1"/>
    <xf numFmtId="44" fontId="13" fillId="0" borderId="75" xfId="1" applyFont="1" applyBorder="1" applyAlignment="1">
      <alignment horizontal="center"/>
    </xf>
    <xf numFmtId="42" fontId="13" fillId="0" borderId="75" xfId="1" applyNumberFormat="1" applyFont="1" applyBorder="1" applyAlignment="1">
      <alignment horizontal="center"/>
    </xf>
    <xf numFmtId="42" fontId="13" fillId="0" borderId="91" xfId="1" applyNumberFormat="1" applyFont="1" applyFill="1" applyBorder="1" applyAlignment="1">
      <alignment horizontal="center"/>
    </xf>
    <xf numFmtId="42" fontId="13" fillId="0" borderId="55" xfId="1" applyNumberFormat="1" applyFont="1" applyFill="1" applyBorder="1" applyAlignment="1">
      <alignment horizontal="center"/>
    </xf>
    <xf numFmtId="42" fontId="27" fillId="0" borderId="16" xfId="0" applyNumberFormat="1" applyFont="1" applyBorder="1" applyAlignment="1">
      <alignment horizontal="center"/>
    </xf>
    <xf numFmtId="42" fontId="18" fillId="0" borderId="16" xfId="0" applyNumberFormat="1" applyFont="1" applyBorder="1" applyAlignment="1">
      <alignment horizontal="center"/>
    </xf>
    <xf numFmtId="42" fontId="13" fillId="0" borderId="40" xfId="0" applyNumberFormat="1" applyFont="1" applyBorder="1" applyAlignment="1">
      <alignment horizontal="center"/>
    </xf>
    <xf numFmtId="42" fontId="13" fillId="0" borderId="40" xfId="0" applyNumberFormat="1" applyFont="1" applyFill="1" applyBorder="1" applyAlignment="1">
      <alignment horizontal="center"/>
    </xf>
    <xf numFmtId="42" fontId="28" fillId="0" borderId="16" xfId="0" applyNumberFormat="1" applyFont="1" applyBorder="1" applyAlignment="1">
      <alignment horizontal="center"/>
    </xf>
    <xf numFmtId="42" fontId="10" fillId="0" borderId="16" xfId="0" applyNumberFormat="1" applyFont="1" applyBorder="1" applyAlignment="1">
      <alignment horizontal="center"/>
    </xf>
    <xf numFmtId="42" fontId="10" fillId="0" borderId="16" xfId="0" applyNumberFormat="1" applyFont="1" applyFill="1" applyBorder="1" applyAlignment="1">
      <alignment horizontal="center"/>
    </xf>
    <xf numFmtId="42" fontId="18" fillId="0" borderId="16" xfId="1" applyNumberFormat="1" applyFont="1" applyBorder="1" applyAlignment="1">
      <alignment horizontal="center"/>
    </xf>
    <xf numFmtId="42" fontId="28" fillId="0" borderId="16" xfId="1" applyNumberFormat="1" applyFont="1" applyBorder="1"/>
    <xf numFmtId="42" fontId="13" fillId="0" borderId="16" xfId="1" applyNumberFormat="1" applyFont="1" applyFill="1" applyBorder="1"/>
    <xf numFmtId="42" fontId="28" fillId="0" borderId="16" xfId="1" applyNumberFormat="1" applyFont="1" applyFill="1" applyBorder="1"/>
    <xf numFmtId="42" fontId="13" fillId="0" borderId="19" xfId="1" applyNumberFormat="1" applyFont="1" applyBorder="1" applyAlignment="1">
      <alignment horizontal="left"/>
    </xf>
    <xf numFmtId="42" fontId="13" fillId="0" borderId="19" xfId="1" applyNumberFormat="1" applyFont="1" applyFill="1" applyBorder="1" applyAlignment="1">
      <alignment horizontal="left"/>
    </xf>
    <xf numFmtId="42" fontId="13" fillId="0" borderId="21" xfId="1" applyNumberFormat="1" applyFont="1" applyBorder="1"/>
    <xf numFmtId="42" fontId="13" fillId="0" borderId="21" xfId="1" applyNumberFormat="1" applyFont="1" applyFill="1" applyBorder="1"/>
    <xf numFmtId="42" fontId="27" fillId="0" borderId="16" xfId="1" applyNumberFormat="1" applyFont="1" applyBorder="1" applyAlignment="1">
      <alignment horizontal="center"/>
    </xf>
    <xf numFmtId="42" fontId="13" fillId="0" borderId="16" xfId="1" applyNumberFormat="1" applyFont="1" applyBorder="1"/>
    <xf numFmtId="42" fontId="13" fillId="0" borderId="16" xfId="1" applyNumberFormat="1" applyFont="1" applyBorder="1" applyAlignment="1">
      <alignment horizontal="center"/>
    </xf>
    <xf numFmtId="42" fontId="13" fillId="0" borderId="19" xfId="1" applyNumberFormat="1" applyFont="1" applyBorder="1" applyAlignment="1">
      <alignment horizontal="center"/>
    </xf>
    <xf numFmtId="42" fontId="13" fillId="0" borderId="19" xfId="1" applyNumberFormat="1" applyFont="1" applyFill="1" applyBorder="1" applyAlignment="1">
      <alignment horizontal="center"/>
    </xf>
    <xf numFmtId="42" fontId="13" fillId="0" borderId="16" xfId="1" applyNumberFormat="1" applyFont="1" applyFill="1" applyBorder="1" applyAlignment="1">
      <alignment horizontal="center"/>
    </xf>
    <xf numFmtId="42" fontId="13" fillId="0" borderId="16" xfId="1" applyNumberFormat="1" applyFont="1" applyBorder="1" applyAlignment="1">
      <alignment horizontal="left"/>
    </xf>
    <xf numFmtId="42" fontId="13" fillId="0" borderId="31" xfId="0" applyNumberFormat="1" applyFont="1" applyBorder="1"/>
    <xf numFmtId="42" fontId="13" fillId="0" borderId="31" xfId="0" applyNumberFormat="1" applyFont="1" applyFill="1" applyBorder="1"/>
    <xf numFmtId="42" fontId="13" fillId="0" borderId="30" xfId="0" applyNumberFormat="1" applyFont="1" applyBorder="1"/>
    <xf numFmtId="42" fontId="13" fillId="0" borderId="30" xfId="1" applyNumberFormat="1" applyFont="1" applyBorder="1" applyAlignment="1">
      <alignment horizontal="left"/>
    </xf>
    <xf numFmtId="42" fontId="13" fillId="0" borderId="30" xfId="1" applyNumberFormat="1" applyFont="1" applyFill="1" applyBorder="1"/>
    <xf numFmtId="42" fontId="13" fillId="0" borderId="30" xfId="0" applyNumberFormat="1" applyFont="1" applyFill="1" applyBorder="1"/>
    <xf numFmtId="42" fontId="13" fillId="0" borderId="26" xfId="0" applyNumberFormat="1" applyFont="1" applyBorder="1"/>
    <xf numFmtId="42" fontId="13" fillId="0" borderId="26" xfId="0" applyNumberFormat="1" applyFont="1" applyFill="1" applyBorder="1"/>
    <xf numFmtId="42" fontId="18" fillId="0" borderId="16" xfId="0" applyNumberFormat="1" applyFont="1" applyFill="1" applyBorder="1" applyAlignment="1">
      <alignment horizontal="center"/>
    </xf>
    <xf numFmtId="42" fontId="10" fillId="0" borderId="16" xfId="1" applyNumberFormat="1" applyFont="1" applyBorder="1"/>
    <xf numFmtId="42" fontId="10" fillId="0" borderId="76" xfId="0" applyNumberFormat="1" applyFont="1" applyBorder="1"/>
    <xf numFmtId="42" fontId="15" fillId="0" borderId="16" xfId="0" applyNumberFormat="1" applyFont="1" applyFill="1" applyBorder="1" applyAlignment="1">
      <alignment horizontal="center"/>
    </xf>
    <xf numFmtId="42" fontId="27" fillId="0" borderId="16" xfId="1" applyNumberFormat="1" applyFont="1" applyBorder="1" applyAlignment="1"/>
    <xf numFmtId="42" fontId="27" fillId="0" borderId="16" xfId="1" applyNumberFormat="1" applyFont="1" applyBorder="1"/>
    <xf numFmtId="42" fontId="13" fillId="0" borderId="76" xfId="1" applyNumberFormat="1" applyFont="1" applyBorder="1" applyAlignment="1">
      <alignment horizontal="left"/>
    </xf>
    <xf numFmtId="42" fontId="13" fillId="0" borderId="21" xfId="1" applyNumberFormat="1" applyFont="1" applyFill="1" applyBorder="1" applyAlignment="1">
      <alignment horizontal="left"/>
    </xf>
    <xf numFmtId="42" fontId="10" fillId="0" borderId="19" xfId="0" applyNumberFormat="1" applyFont="1" applyBorder="1"/>
    <xf numFmtId="42" fontId="13" fillId="0" borderId="2" xfId="0" applyNumberFormat="1" applyFont="1" applyBorder="1" applyAlignment="1">
      <alignment horizontal="center" vertical="center"/>
    </xf>
    <xf numFmtId="42" fontId="13" fillId="0" borderId="2" xfId="0" applyNumberFormat="1" applyFont="1" applyFill="1" applyBorder="1" applyAlignment="1">
      <alignment horizontal="center" vertical="center"/>
    </xf>
    <xf numFmtId="42" fontId="10" fillId="0" borderId="19" xfId="0" applyNumberFormat="1" applyFont="1" applyBorder="1" applyAlignment="1">
      <alignment horizontal="center"/>
    </xf>
    <xf numFmtId="42" fontId="10" fillId="0" borderId="16" xfId="1" applyNumberFormat="1" applyFont="1" applyBorder="1" applyAlignment="1">
      <alignment horizontal="left"/>
    </xf>
    <xf numFmtId="42" fontId="13" fillId="0" borderId="19" xfId="0" applyNumberFormat="1" applyFont="1" applyBorder="1"/>
    <xf numFmtId="42" fontId="13" fillId="0" borderId="21" xfId="0" applyNumberFormat="1" applyFont="1" applyBorder="1"/>
    <xf numFmtId="42" fontId="10" fillId="0" borderId="21" xfId="1" applyNumberFormat="1" applyFont="1" applyBorder="1" applyAlignment="1">
      <alignment horizontal="left"/>
    </xf>
    <xf numFmtId="42" fontId="13" fillId="0" borderId="69" xfId="1" applyNumberFormat="1" applyFont="1" applyBorder="1"/>
    <xf numFmtId="42" fontId="13" fillId="0" borderId="19" xfId="1" applyNumberFormat="1" applyFont="1" applyBorder="1"/>
    <xf numFmtId="42" fontId="13" fillId="0" borderId="21" xfId="1" applyNumberFormat="1" applyFont="1" applyBorder="1" applyAlignment="1">
      <alignment horizontal="center"/>
    </xf>
    <xf numFmtId="42" fontId="10" fillId="0" borderId="21" xfId="0" applyNumberFormat="1" applyFont="1" applyBorder="1" applyAlignment="1">
      <alignment horizontal="center"/>
    </xf>
    <xf numFmtId="42" fontId="10" fillId="0" borderId="19" xfId="1" applyNumberFormat="1" applyFont="1" applyBorder="1" applyAlignment="1">
      <alignment horizontal="left"/>
    </xf>
    <xf numFmtId="42" fontId="28" fillId="0" borderId="16" xfId="1" applyNumberFormat="1" applyFont="1" applyBorder="1" applyAlignment="1">
      <alignment horizontal="center"/>
    </xf>
    <xf numFmtId="42" fontId="13" fillId="0" borderId="16" xfId="1" applyNumberFormat="1" applyFont="1" applyBorder="1" applyAlignment="1"/>
    <xf numFmtId="42" fontId="13" fillId="0" borderId="16" xfId="1" applyNumberFormat="1" applyFont="1" applyFill="1" applyBorder="1" applyAlignment="1"/>
    <xf numFmtId="42" fontId="13" fillId="0" borderId="84" xfId="1" applyNumberFormat="1" applyFont="1" applyBorder="1" applyAlignment="1"/>
    <xf numFmtId="42" fontId="13" fillId="0" borderId="79" xfId="1" applyNumberFormat="1" applyFont="1" applyBorder="1" applyAlignment="1">
      <alignment horizontal="center"/>
    </xf>
    <xf numFmtId="42" fontId="13" fillId="0" borderId="76" xfId="0" applyNumberFormat="1" applyFont="1" applyBorder="1"/>
    <xf numFmtId="42" fontId="27" fillId="0" borderId="16" xfId="0" applyNumberFormat="1" applyFont="1" applyFill="1" applyBorder="1" applyAlignment="1">
      <alignment horizontal="center"/>
    </xf>
    <xf numFmtId="42" fontId="13" fillId="0" borderId="85" xfId="0" applyNumberFormat="1" applyFont="1" applyFill="1" applyBorder="1" applyAlignment="1">
      <alignment horizontal="center"/>
    </xf>
    <xf numFmtId="42" fontId="13" fillId="0" borderId="69" xfId="0" applyNumberFormat="1" applyFont="1" applyFill="1" applyBorder="1" applyAlignment="1">
      <alignment horizontal="center"/>
    </xf>
    <xf numFmtId="42" fontId="13" fillId="0" borderId="85" xfId="0" applyNumberFormat="1" applyFont="1" applyFill="1" applyBorder="1"/>
    <xf numFmtId="42" fontId="13" fillId="0" borderId="76" xfId="0" applyNumberFormat="1" applyFont="1" applyFill="1" applyBorder="1"/>
    <xf numFmtId="42" fontId="13" fillId="0" borderId="21" xfId="1" applyNumberFormat="1" applyFont="1" applyBorder="1" applyAlignment="1">
      <alignment horizontal="left"/>
    </xf>
    <xf numFmtId="42" fontId="23" fillId="0" borderId="16" xfId="0" applyNumberFormat="1" applyFont="1" applyBorder="1"/>
    <xf numFmtId="42" fontId="23" fillId="0" borderId="19" xfId="0" applyNumberFormat="1" applyFont="1" applyBorder="1"/>
    <xf numFmtId="42" fontId="13" fillId="0" borderId="46" xfId="0" applyNumberFormat="1" applyFont="1" applyBorder="1" applyAlignment="1">
      <alignment horizontal="center"/>
    </xf>
    <xf numFmtId="42" fontId="41" fillId="0" borderId="16" xfId="0" applyNumberFormat="1" applyFont="1" applyBorder="1" applyAlignment="1">
      <alignment horizontal="center"/>
    </xf>
    <xf numFmtId="42" fontId="23" fillId="0" borderId="16" xfId="0" applyNumberFormat="1" applyFont="1" applyBorder="1" applyAlignment="1">
      <alignment horizontal="center"/>
    </xf>
    <xf numFmtId="42" fontId="13" fillId="0" borderId="76" xfId="0" applyNumberFormat="1" applyFont="1" applyBorder="1" applyAlignment="1">
      <alignment horizontal="center"/>
    </xf>
    <xf numFmtId="42" fontId="36" fillId="0" borderId="16" xfId="0" applyNumberFormat="1" applyFont="1" applyBorder="1" applyAlignment="1">
      <alignment horizontal="center"/>
    </xf>
    <xf numFmtId="42" fontId="10" fillId="0" borderId="79" xfId="0" applyNumberFormat="1" applyFont="1" applyBorder="1" applyAlignment="1">
      <alignment horizontal="center"/>
    </xf>
    <xf numFmtId="42" fontId="13" fillId="0" borderId="16" xfId="1" applyNumberFormat="1" applyFont="1" applyFill="1" applyBorder="1" applyAlignment="1">
      <alignment horizontal="left"/>
    </xf>
    <xf numFmtId="42" fontId="13" fillId="0" borderId="76" xfId="1" applyNumberFormat="1" applyFont="1" applyBorder="1"/>
    <xf numFmtId="42" fontId="13" fillId="0" borderId="26" xfId="1" applyNumberFormat="1" applyFont="1" applyBorder="1" applyAlignment="1">
      <alignment horizontal="center"/>
    </xf>
    <xf numFmtId="0" fontId="13" fillId="2" borderId="16" xfId="0" applyFont="1" applyFill="1" applyBorder="1"/>
    <xf numFmtId="44" fontId="13" fillId="2" borderId="16" xfId="1" applyNumberFormat="1" applyFont="1" applyFill="1" applyBorder="1" applyAlignment="1">
      <alignment horizontal="center"/>
    </xf>
    <xf numFmtId="42" fontId="13" fillId="2" borderId="16" xfId="1" applyNumberFormat="1" applyFont="1" applyFill="1" applyBorder="1" applyAlignment="1">
      <alignment horizontal="center"/>
    </xf>
    <xf numFmtId="0" fontId="23" fillId="0" borderId="23" xfId="0" applyFont="1" applyBorder="1"/>
    <xf numFmtId="44" fontId="13" fillId="0" borderId="46" xfId="1" applyNumberFormat="1" applyFont="1" applyBorder="1" applyAlignment="1">
      <alignment horizontal="center"/>
    </xf>
    <xf numFmtId="44" fontId="13" fillId="0" borderId="46" xfId="1" applyNumberFormat="1" applyFont="1" applyFill="1" applyBorder="1" applyAlignment="1">
      <alignment horizontal="center"/>
    </xf>
    <xf numFmtId="42" fontId="13" fillId="0" borderId="46" xfId="1" applyNumberFormat="1" applyFont="1" applyFill="1" applyBorder="1" applyAlignment="1">
      <alignment horizontal="center"/>
    </xf>
    <xf numFmtId="0" fontId="13" fillId="0" borderId="74" xfId="0" applyFont="1" applyBorder="1"/>
    <xf numFmtId="42" fontId="13" fillId="0" borderId="74" xfId="0" applyNumberFormat="1" applyFont="1" applyBorder="1" applyAlignment="1">
      <alignment horizontal="center"/>
    </xf>
    <xf numFmtId="44" fontId="13" fillId="0" borderId="16" xfId="1" applyFont="1" applyFill="1" applyBorder="1" applyAlignment="1">
      <alignment horizontal="left"/>
    </xf>
    <xf numFmtId="44" fontId="13" fillId="0" borderId="21" xfId="1" applyFont="1" applyBorder="1" applyAlignment="1">
      <alignment horizontal="left"/>
    </xf>
    <xf numFmtId="44" fontId="13" fillId="2" borderId="16" xfId="1" applyFont="1" applyFill="1" applyBorder="1"/>
    <xf numFmtId="42" fontId="13" fillId="2" borderId="16" xfId="1" applyNumberFormat="1" applyFont="1" applyFill="1" applyBorder="1"/>
    <xf numFmtId="44" fontId="23" fillId="0" borderId="16" xfId="1" applyFont="1" applyFill="1" applyBorder="1" applyAlignment="1">
      <alignment horizontal="left"/>
    </xf>
    <xf numFmtId="44" fontId="23" fillId="0" borderId="19" xfId="1" applyFont="1" applyFill="1" applyBorder="1" applyAlignment="1">
      <alignment horizontal="left"/>
    </xf>
    <xf numFmtId="44" fontId="23" fillId="0" borderId="76" xfId="1" applyFont="1" applyFill="1" applyBorder="1" applyAlignment="1">
      <alignment horizontal="left"/>
    </xf>
    <xf numFmtId="44" fontId="13" fillId="0" borderId="76" xfId="1" applyFont="1" applyFill="1" applyBorder="1" applyAlignment="1">
      <alignment horizontal="left"/>
    </xf>
    <xf numFmtId="42" fontId="13" fillId="0" borderId="76" xfId="1" applyNumberFormat="1" applyFont="1" applyFill="1" applyBorder="1" applyAlignment="1">
      <alignment horizontal="left"/>
    </xf>
    <xf numFmtId="0" fontId="18" fillId="2" borderId="69" xfId="0" applyFont="1" applyFill="1" applyBorder="1" applyAlignment="1">
      <alignment horizontal="left"/>
    </xf>
    <xf numFmtId="44" fontId="18" fillId="2" borderId="69" xfId="1" applyFont="1" applyFill="1" applyBorder="1"/>
    <xf numFmtId="42" fontId="56" fillId="0" borderId="0" xfId="0" applyNumberFormat="1" applyFont="1"/>
    <xf numFmtId="42" fontId="13" fillId="0" borderId="43" xfId="0" applyNumberFormat="1" applyFont="1" applyBorder="1" applyAlignment="1">
      <alignment vertical="center"/>
    </xf>
    <xf numFmtId="0" fontId="13" fillId="0" borderId="25" xfId="0" applyFont="1" applyBorder="1"/>
    <xf numFmtId="44" fontId="13" fillId="0" borderId="54" xfId="0" applyNumberFormat="1" applyFont="1" applyFill="1" applyBorder="1" applyAlignment="1">
      <alignment horizontal="center" vertical="center"/>
    </xf>
    <xf numFmtId="44" fontId="13" fillId="0" borderId="69" xfId="0" applyNumberFormat="1" applyFont="1" applyFill="1" applyBorder="1" applyAlignment="1">
      <alignment horizontal="center" vertical="center"/>
    </xf>
    <xf numFmtId="44" fontId="13" fillId="2" borderId="46" xfId="0" applyNumberFormat="1" applyFont="1" applyFill="1" applyBorder="1" applyAlignment="1">
      <alignment horizontal="center" vertical="center"/>
    </xf>
    <xf numFmtId="42" fontId="13" fillId="0" borderId="46" xfId="0" applyNumberFormat="1" applyFont="1" applyFill="1" applyBorder="1" applyAlignment="1">
      <alignment horizontal="center" vertical="center"/>
    </xf>
    <xf numFmtId="0" fontId="13" fillId="0" borderId="54" xfId="0" applyFont="1" applyBorder="1" applyAlignment="1"/>
    <xf numFmtId="44" fontId="13" fillId="2" borderId="54" xfId="0" applyNumberFormat="1" applyFont="1" applyFill="1" applyBorder="1" applyAlignment="1">
      <alignment horizontal="center" vertical="center"/>
    </xf>
    <xf numFmtId="42" fontId="13" fillId="0" borderId="54" xfId="0" applyNumberFormat="1" applyFont="1" applyFill="1" applyBorder="1" applyAlignment="1">
      <alignment horizontal="center" vertical="center"/>
    </xf>
    <xf numFmtId="42" fontId="13" fillId="0" borderId="52" xfId="0" applyNumberFormat="1" applyFont="1" applyFill="1" applyBorder="1" applyAlignment="1">
      <alignment horizontal="center" vertical="center"/>
    </xf>
    <xf numFmtId="0" fontId="13" fillId="0" borderId="25" xfId="0" applyFont="1" applyFill="1" applyBorder="1"/>
    <xf numFmtId="44" fontId="13" fillId="0" borderId="25" xfId="0" applyNumberFormat="1" applyFont="1" applyFill="1" applyBorder="1"/>
    <xf numFmtId="42" fontId="13" fillId="0" borderId="25" xfId="0" applyNumberFormat="1" applyFont="1" applyFill="1" applyBorder="1"/>
    <xf numFmtId="0" fontId="13" fillId="0" borderId="46" xfId="0" applyFont="1" applyFill="1" applyBorder="1"/>
    <xf numFmtId="44" fontId="13" fillId="0" borderId="25" xfId="0" applyNumberFormat="1" applyFont="1" applyBorder="1" applyAlignment="1">
      <alignment horizontal="center" vertical="center"/>
    </xf>
    <xf numFmtId="42" fontId="13" fillId="0" borderId="25" xfId="0" applyNumberFormat="1" applyFont="1" applyBorder="1" applyAlignment="1">
      <alignment horizontal="center" vertical="center"/>
    </xf>
    <xf numFmtId="42" fontId="13" fillId="0" borderId="16" xfId="0" applyNumberFormat="1" applyFont="1" applyBorder="1" applyAlignment="1">
      <alignment horizontal="center" vertical="center"/>
    </xf>
    <xf numFmtId="44" fontId="13" fillId="0" borderId="46" xfId="0" applyNumberFormat="1" applyFont="1" applyBorder="1" applyAlignment="1">
      <alignment horizontal="center" vertical="center"/>
    </xf>
    <xf numFmtId="42" fontId="13" fillId="0" borderId="46" xfId="0" applyNumberFormat="1" applyFont="1" applyBorder="1" applyAlignment="1">
      <alignment horizontal="center" vertical="center"/>
    </xf>
    <xf numFmtId="44" fontId="13" fillId="0" borderId="74" xfId="0" applyNumberFormat="1" applyFont="1" applyBorder="1" applyAlignment="1">
      <alignment horizontal="center" vertical="center"/>
    </xf>
    <xf numFmtId="42" fontId="13" fillId="0" borderId="74" xfId="0" applyNumberFormat="1" applyFont="1" applyBorder="1" applyAlignment="1">
      <alignment horizontal="center" vertical="center"/>
    </xf>
    <xf numFmtId="42" fontId="13" fillId="0" borderId="52" xfId="0" applyNumberFormat="1" applyFont="1" applyBorder="1" applyAlignment="1">
      <alignment horizontal="center" vertical="center"/>
    </xf>
    <xf numFmtId="0" fontId="13" fillId="0" borderId="25" xfId="0" applyFont="1" applyBorder="1" applyAlignment="1"/>
    <xf numFmtId="44" fontId="13" fillId="2" borderId="25" xfId="0" applyNumberFormat="1" applyFont="1" applyFill="1" applyBorder="1" applyAlignment="1">
      <alignment horizontal="center" vertical="center"/>
    </xf>
    <xf numFmtId="42" fontId="13" fillId="2" borderId="25" xfId="0" applyNumberFormat="1" applyFont="1" applyFill="1" applyBorder="1" applyAlignment="1">
      <alignment horizontal="center" vertical="center"/>
    </xf>
    <xf numFmtId="44" fontId="13" fillId="2" borderId="16" xfId="0" applyNumberFormat="1" applyFont="1" applyFill="1" applyBorder="1" applyAlignment="1">
      <alignment horizontal="center" vertical="center"/>
    </xf>
    <xf numFmtId="42" fontId="13" fillId="2" borderId="16" xfId="0" applyNumberFormat="1" applyFont="1" applyFill="1" applyBorder="1" applyAlignment="1">
      <alignment horizontal="center" vertical="center"/>
    </xf>
    <xf numFmtId="44" fontId="13" fillId="0" borderId="25" xfId="0" applyNumberFormat="1" applyFont="1" applyBorder="1"/>
    <xf numFmtId="42" fontId="13" fillId="0" borderId="25" xfId="0" applyNumberFormat="1" applyFont="1" applyBorder="1"/>
    <xf numFmtId="42" fontId="13" fillId="0" borderId="0" xfId="0" applyNumberFormat="1" applyFont="1"/>
    <xf numFmtId="0" fontId="13" fillId="2" borderId="19" xfId="0" applyFont="1" applyFill="1" applyBorder="1" applyAlignment="1"/>
    <xf numFmtId="44" fontId="13" fillId="0" borderId="19" xfId="0" applyNumberFormat="1" applyFont="1" applyFill="1" applyBorder="1"/>
    <xf numFmtId="42" fontId="13" fillId="0" borderId="19" xfId="0" applyNumberFormat="1" applyFont="1" applyFill="1" applyBorder="1"/>
    <xf numFmtId="0" fontId="13" fillId="2" borderId="25" xfId="0" applyFont="1" applyFill="1" applyBorder="1" applyAlignment="1"/>
    <xf numFmtId="0" fontId="13" fillId="2" borderId="46" xfId="0" applyFont="1" applyFill="1" applyBorder="1" applyAlignment="1"/>
    <xf numFmtId="0" fontId="13" fillId="0" borderId="26" xfId="0" applyFont="1" applyBorder="1"/>
    <xf numFmtId="0" fontId="57" fillId="0" borderId="19" xfId="0" applyFont="1" applyFill="1" applyBorder="1"/>
    <xf numFmtId="0" fontId="13" fillId="0" borderId="16" xfId="0" applyFont="1" applyFill="1" applyBorder="1" applyAlignment="1">
      <alignment horizontal="left"/>
    </xf>
    <xf numFmtId="0" fontId="13" fillId="0" borderId="16" xfId="0" applyFont="1" applyBorder="1" applyAlignment="1">
      <alignment horizontal="left" wrapText="1"/>
    </xf>
    <xf numFmtId="0" fontId="18" fillId="0" borderId="16" xfId="0" applyFont="1" applyFill="1" applyBorder="1"/>
    <xf numFmtId="44" fontId="13" fillId="0" borderId="40" xfId="1" applyNumberFormat="1" applyFont="1" applyBorder="1"/>
    <xf numFmtId="44" fontId="13" fillId="0" borderId="19" xfId="1" applyNumberFormat="1" applyFont="1" applyBorder="1"/>
    <xf numFmtId="44" fontId="13" fillId="0" borderId="21" xfId="1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16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44" fontId="13" fillId="0" borderId="79" xfId="0" applyNumberFormat="1" applyFont="1" applyBorder="1"/>
    <xf numFmtId="42" fontId="13" fillId="0" borderId="79" xfId="0" applyNumberFormat="1" applyFont="1" applyBorder="1"/>
    <xf numFmtId="44" fontId="13" fillId="0" borderId="112" xfId="0" applyNumberFormat="1" applyFont="1" applyBorder="1" applyAlignment="1">
      <alignment horizontal="center" vertical="center"/>
    </xf>
    <xf numFmtId="42" fontId="13" fillId="0" borderId="112" xfId="0" applyNumberFormat="1" applyFont="1" applyBorder="1" applyAlignment="1">
      <alignment horizontal="center" vertical="center"/>
    </xf>
    <xf numFmtId="44" fontId="27" fillId="0" borderId="16" xfId="1" applyFont="1" applyBorder="1" applyAlignment="1">
      <alignment horizontal="center"/>
    </xf>
    <xf numFmtId="8" fontId="13" fillId="0" borderId="21" xfId="0" applyNumberFormat="1" applyFont="1" applyBorder="1"/>
    <xf numFmtId="42" fontId="13" fillId="0" borderId="46" xfId="1" applyNumberFormat="1" applyFont="1" applyBorder="1" applyAlignment="1">
      <alignment horizontal="center"/>
    </xf>
    <xf numFmtId="44" fontId="13" fillId="0" borderId="74" xfId="1" applyNumberFormat="1" applyFont="1" applyBorder="1" applyAlignment="1">
      <alignment horizontal="center"/>
    </xf>
    <xf numFmtId="42" fontId="13" fillId="0" borderId="74" xfId="1" applyNumberFormat="1" applyFont="1" applyBorder="1" applyAlignment="1">
      <alignment horizontal="center"/>
    </xf>
    <xf numFmtId="0" fontId="13" fillId="0" borderId="22" xfId="0" applyFont="1" applyBorder="1"/>
    <xf numFmtId="44" fontId="13" fillId="0" borderId="46" xfId="1" applyNumberFormat="1" applyFont="1" applyBorder="1"/>
    <xf numFmtId="44" fontId="13" fillId="0" borderId="120" xfId="0" applyNumberFormat="1" applyFont="1" applyBorder="1"/>
    <xf numFmtId="44" fontId="13" fillId="0" borderId="78" xfId="0" applyNumberFormat="1" applyFont="1" applyBorder="1"/>
    <xf numFmtId="44" fontId="13" fillId="0" borderId="71" xfId="0" applyNumberFormat="1" applyFont="1" applyBorder="1"/>
    <xf numFmtId="42" fontId="13" fillId="0" borderId="10" xfId="0" applyNumberFormat="1" applyFont="1" applyBorder="1"/>
    <xf numFmtId="42" fontId="13" fillId="0" borderId="50" xfId="0" applyNumberFormat="1" applyFont="1" applyBorder="1"/>
    <xf numFmtId="42" fontId="13" fillId="0" borderId="49" xfId="0" applyNumberFormat="1" applyFont="1" applyBorder="1"/>
    <xf numFmtId="44" fontId="13" fillId="0" borderId="16" xfId="0" applyNumberFormat="1" applyFont="1" applyBorder="1" applyAlignment="1"/>
    <xf numFmtId="44" fontId="23" fillId="0" borderId="16" xfId="0" applyNumberFormat="1" applyFont="1" applyFill="1" applyBorder="1" applyAlignment="1">
      <alignment horizontal="center"/>
    </xf>
    <xf numFmtId="42" fontId="23" fillId="0" borderId="16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 wrapText="1"/>
    </xf>
    <xf numFmtId="42" fontId="13" fillId="0" borderId="21" xfId="1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44" fontId="13" fillId="0" borderId="30" xfId="0" applyNumberFormat="1" applyFont="1" applyBorder="1" applyAlignment="1">
      <alignment horizontal="center"/>
    </xf>
    <xf numFmtId="42" fontId="13" fillId="0" borderId="30" xfId="0" applyNumberFormat="1" applyFont="1" applyBorder="1" applyAlignment="1">
      <alignment horizontal="center"/>
    </xf>
    <xf numFmtId="42" fontId="13" fillId="0" borderId="30" xfId="0" applyNumberFormat="1" applyFont="1" applyFill="1" applyBorder="1" applyAlignment="1">
      <alignment horizontal="center"/>
    </xf>
    <xf numFmtId="44" fontId="13" fillId="0" borderId="108" xfId="0" applyNumberFormat="1" applyFont="1" applyBorder="1"/>
    <xf numFmtId="42" fontId="13" fillId="0" borderId="108" xfId="0" applyNumberFormat="1" applyFont="1" applyBorder="1"/>
    <xf numFmtId="42" fontId="13" fillId="0" borderId="108" xfId="0" applyNumberFormat="1" applyFont="1" applyFill="1" applyBorder="1"/>
    <xf numFmtId="44" fontId="13" fillId="0" borderId="74" xfId="0" applyNumberFormat="1" applyFont="1" applyFill="1" applyBorder="1"/>
    <xf numFmtId="42" fontId="13" fillId="0" borderId="74" xfId="0" applyNumberFormat="1" applyFont="1" applyFill="1" applyBorder="1"/>
    <xf numFmtId="0" fontId="13" fillId="0" borderId="8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42" fontId="13" fillId="0" borderId="40" xfId="0" applyNumberFormat="1" applyFont="1" applyBorder="1"/>
    <xf numFmtId="43" fontId="13" fillId="0" borderId="40" xfId="0" applyNumberFormat="1" applyFont="1" applyBorder="1"/>
    <xf numFmtId="42" fontId="13" fillId="0" borderId="40" xfId="0" applyNumberFormat="1" applyFont="1" applyFill="1" applyBorder="1"/>
    <xf numFmtId="0" fontId="13" fillId="0" borderId="1" xfId="0" applyFont="1" applyBorder="1" applyAlignment="1">
      <alignment horizontal="left" wrapText="1"/>
    </xf>
    <xf numFmtId="43" fontId="13" fillId="0" borderId="25" xfId="0" applyNumberFormat="1" applyFont="1" applyBorder="1"/>
    <xf numFmtId="43" fontId="13" fillId="0" borderId="16" xfId="0" applyNumberFormat="1" applyFont="1" applyBorder="1"/>
    <xf numFmtId="43" fontId="13" fillId="0" borderId="46" xfId="0" applyNumberFormat="1" applyFont="1" applyBorder="1"/>
    <xf numFmtId="43" fontId="13" fillId="0" borderId="40" xfId="0" applyNumberFormat="1" applyFont="1" applyFill="1" applyBorder="1"/>
    <xf numFmtId="43" fontId="13" fillId="0" borderId="25" xfId="0" applyNumberFormat="1" applyFont="1" applyFill="1" applyBorder="1"/>
    <xf numFmtId="43" fontId="13" fillId="0" borderId="16" xfId="0" applyNumberFormat="1" applyFont="1" applyFill="1" applyBorder="1"/>
    <xf numFmtId="43" fontId="13" fillId="0" borderId="46" xfId="0" applyNumberFormat="1" applyFont="1" applyFill="1" applyBorder="1"/>
    <xf numFmtId="42" fontId="13" fillId="0" borderId="69" xfId="0" applyNumberFormat="1" applyFont="1" applyBorder="1"/>
    <xf numFmtId="0" fontId="13" fillId="2" borderId="1" xfId="0" applyFont="1" applyFill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3" fillId="0" borderId="43" xfId="0" applyFont="1" applyBorder="1" applyAlignment="1">
      <alignment horizontal="center"/>
    </xf>
    <xf numFmtId="0" fontId="13" fillId="0" borderId="20" xfId="0" applyFont="1" applyBorder="1" applyAlignment="1">
      <alignment horizontal="left" vertical="center"/>
    </xf>
    <xf numFmtId="44" fontId="13" fillId="0" borderId="19" xfId="1" applyNumberFormat="1" applyFont="1" applyBorder="1" applyAlignment="1"/>
    <xf numFmtId="42" fontId="13" fillId="0" borderId="19" xfId="1" applyNumberFormat="1" applyFont="1" applyBorder="1" applyAlignment="1"/>
    <xf numFmtId="0" fontId="10" fillId="0" borderId="128" xfId="0" applyFont="1" applyFill="1" applyBorder="1"/>
    <xf numFmtId="44" fontId="10" fillId="8" borderId="7" xfId="0" applyNumberFormat="1" applyFont="1" applyFill="1" applyBorder="1"/>
    <xf numFmtId="1" fontId="10" fillId="0" borderId="6" xfId="0" applyNumberFormat="1" applyFont="1" applyFill="1" applyBorder="1"/>
    <xf numFmtId="44" fontId="10" fillId="0" borderId="7" xfId="0" applyNumberFormat="1" applyFont="1" applyFill="1" applyBorder="1"/>
    <xf numFmtId="166" fontId="10" fillId="0" borderId="28" xfId="0" applyNumberFormat="1" applyFont="1" applyFill="1" applyBorder="1" applyAlignment="1">
      <alignment horizontal="right"/>
    </xf>
    <xf numFmtId="167" fontId="21" fillId="0" borderId="6" xfId="0" applyNumberFormat="1" applyFont="1" applyFill="1" applyBorder="1"/>
    <xf numFmtId="44" fontId="21" fillId="0" borderId="6" xfId="0" applyNumberFormat="1" applyFont="1" applyFill="1" applyBorder="1"/>
    <xf numFmtId="44" fontId="10" fillId="0" borderId="12" xfId="0" applyNumberFormat="1" applyFont="1" applyFill="1" applyBorder="1"/>
    <xf numFmtId="166" fontId="10" fillId="0" borderId="4" xfId="0" applyNumberFormat="1" applyFont="1" applyFill="1" applyBorder="1"/>
    <xf numFmtId="44" fontId="10" fillId="0" borderId="44" xfId="0" applyNumberFormat="1" applyFont="1" applyBorder="1"/>
    <xf numFmtId="0" fontId="10" fillId="0" borderId="44" xfId="0" applyFont="1" applyFill="1" applyBorder="1"/>
    <xf numFmtId="166" fontId="10" fillId="0" borderId="5" xfId="0" applyNumberFormat="1" applyFont="1" applyFill="1" applyBorder="1"/>
    <xf numFmtId="0" fontId="10" fillId="0" borderId="44" xfId="0" applyFont="1" applyBorder="1"/>
    <xf numFmtId="44" fontId="10" fillId="0" borderId="44" xfId="0" applyNumberFormat="1" applyFont="1" applyFill="1" applyBorder="1"/>
    <xf numFmtId="0" fontId="10" fillId="0" borderId="5" xfId="0" applyNumberFormat="1" applyFont="1" applyBorder="1" applyAlignment="1">
      <alignment horizontal="center"/>
    </xf>
    <xf numFmtId="0" fontId="10" fillId="0" borderId="6" xfId="0" applyFont="1" applyBorder="1"/>
    <xf numFmtId="0" fontId="34" fillId="0" borderId="129" xfId="0" applyNumberFormat="1" applyFont="1" applyBorder="1" applyAlignment="1">
      <alignment horizontal="center" vertical="center"/>
    </xf>
    <xf numFmtId="0" fontId="11" fillId="0" borderId="129" xfId="0" applyFont="1" applyBorder="1" applyAlignment="1">
      <alignment horizontal="left" vertical="center"/>
    </xf>
    <xf numFmtId="0" fontId="53" fillId="0" borderId="129" xfId="0" applyFont="1" applyBorder="1" applyAlignment="1">
      <alignment horizontal="center" vertical="center" wrapText="1"/>
    </xf>
    <xf numFmtId="43" fontId="53" fillId="0" borderId="130" xfId="0" applyNumberFormat="1" applyFont="1" applyBorder="1" applyAlignment="1">
      <alignment horizontal="center" vertical="center" wrapText="1"/>
    </xf>
    <xf numFmtId="42" fontId="43" fillId="0" borderId="128" xfId="0" applyNumberFormat="1" applyFont="1" applyFill="1" applyBorder="1"/>
    <xf numFmtId="42" fontId="43" fillId="0" borderId="72" xfId="0" applyNumberFormat="1" applyFont="1" applyFill="1" applyBorder="1"/>
    <xf numFmtId="42" fontId="43" fillId="0" borderId="38" xfId="0" applyNumberFormat="1" applyFont="1" applyBorder="1"/>
    <xf numFmtId="168" fontId="0" fillId="0" borderId="0" xfId="0" applyNumberFormat="1" applyBorder="1"/>
    <xf numFmtId="44" fontId="10" fillId="0" borderId="132" xfId="0" applyNumberFormat="1" applyFont="1" applyFill="1" applyBorder="1" applyAlignment="1">
      <alignment horizontal="center"/>
    </xf>
    <xf numFmtId="44" fontId="10" fillId="0" borderId="133" xfId="0" applyNumberFormat="1" applyFont="1" applyFill="1" applyBorder="1" applyAlignment="1">
      <alignment horizontal="center"/>
    </xf>
    <xf numFmtId="0" fontId="10" fillId="0" borderId="125" xfId="0" applyFont="1" applyBorder="1" applyAlignment="1">
      <alignment horizontal="center"/>
    </xf>
    <xf numFmtId="0" fontId="10" fillId="0" borderId="70" xfId="0" applyFont="1" applyFill="1" applyBorder="1"/>
    <xf numFmtId="44" fontId="10" fillId="0" borderId="71" xfId="0" applyNumberFormat="1" applyFont="1" applyFill="1" applyBorder="1"/>
    <xf numFmtId="2" fontId="10" fillId="0" borderId="71" xfId="0" applyNumberFormat="1" applyFont="1" applyFill="1" applyBorder="1"/>
    <xf numFmtId="44" fontId="10" fillId="0" borderId="78" xfId="0" applyNumberFormat="1" applyFont="1" applyFill="1" applyBorder="1"/>
    <xf numFmtId="166" fontId="10" fillId="0" borderId="70" xfId="0" applyNumberFormat="1" applyFont="1" applyFill="1" applyBorder="1"/>
    <xf numFmtId="0" fontId="10" fillId="0" borderId="28" xfId="0" applyFont="1" applyFill="1" applyBorder="1"/>
    <xf numFmtId="44" fontId="10" fillId="0" borderId="29" xfId="0" applyNumberFormat="1" applyFont="1" applyFill="1" applyBorder="1"/>
    <xf numFmtId="2" fontId="10" fillId="0" borderId="29" xfId="0" applyNumberFormat="1" applyFont="1" applyFill="1" applyBorder="1"/>
    <xf numFmtId="44" fontId="10" fillId="0" borderId="33" xfId="0" applyNumberFormat="1" applyFont="1" applyFill="1" applyBorder="1"/>
    <xf numFmtId="166" fontId="10" fillId="0" borderId="28" xfId="0" applyNumberFormat="1" applyFont="1" applyFill="1" applyBorder="1"/>
    <xf numFmtId="166" fontId="10" fillId="0" borderId="5" xfId="0" applyNumberFormat="1" applyFont="1" applyFill="1" applyBorder="1" applyAlignment="1">
      <alignment horizontal="right"/>
    </xf>
    <xf numFmtId="0" fontId="10" fillId="0" borderId="24" xfId="0" applyFont="1" applyBorder="1"/>
    <xf numFmtId="44" fontId="10" fillId="0" borderId="80" xfId="0" applyNumberFormat="1" applyFont="1" applyBorder="1"/>
    <xf numFmtId="44" fontId="10" fillId="0" borderId="86" xfId="0" applyNumberFormat="1" applyFont="1" applyBorder="1"/>
    <xf numFmtId="44" fontId="10" fillId="0" borderId="134" xfId="0" applyNumberFormat="1" applyFont="1" applyBorder="1"/>
    <xf numFmtId="0" fontId="10" fillId="0" borderId="72" xfId="0" applyFont="1" applyFill="1" applyBorder="1" applyAlignment="1">
      <alignment horizontal="center"/>
    </xf>
    <xf numFmtId="44" fontId="10" fillId="0" borderId="135" xfId="0" applyNumberFormat="1" applyFont="1" applyFill="1" applyBorder="1" applyAlignment="1">
      <alignment horizontal="center"/>
    </xf>
    <xf numFmtId="0" fontId="13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2" fontId="46" fillId="0" borderId="41" xfId="0" applyNumberFormat="1" applyFont="1" applyBorder="1" applyAlignment="1">
      <alignment horizontal="center" textRotation="90"/>
    </xf>
    <xf numFmtId="42" fontId="16" fillId="0" borderId="0" xfId="0" applyNumberFormat="1" applyFont="1" applyBorder="1" applyAlignment="1">
      <alignment horizontal="center" vertical="center"/>
    </xf>
    <xf numFmtId="42" fontId="13" fillId="0" borderId="20" xfId="0" applyNumberFormat="1" applyFont="1" applyFill="1" applyBorder="1" applyAlignment="1">
      <alignment horizontal="center"/>
    </xf>
    <xf numFmtId="0" fontId="10" fillId="0" borderId="17" xfId="0" applyFont="1" applyFill="1" applyBorder="1"/>
    <xf numFmtId="44" fontId="10" fillId="0" borderId="8" xfId="0" applyNumberFormat="1" applyFont="1" applyFill="1" applyBorder="1"/>
    <xf numFmtId="44" fontId="10" fillId="0" borderId="15" xfId="0" applyNumberFormat="1" applyFont="1" applyFill="1" applyBorder="1"/>
    <xf numFmtId="166" fontId="10" fillId="0" borderId="17" xfId="0" applyNumberFormat="1" applyFont="1" applyFill="1" applyBorder="1"/>
    <xf numFmtId="14" fontId="10" fillId="0" borderId="1" xfId="0" applyNumberFormat="1" applyFont="1" applyBorder="1"/>
    <xf numFmtId="0" fontId="10" fillId="0" borderId="12" xfId="0" applyFont="1" applyBorder="1"/>
    <xf numFmtId="42" fontId="13" fillId="0" borderId="0" xfId="0" applyNumberFormat="1" applyFont="1" applyFill="1" applyBorder="1"/>
    <xf numFmtId="42" fontId="13" fillId="0" borderId="45" xfId="0" applyNumberFormat="1" applyFont="1" applyFill="1" applyBorder="1"/>
    <xf numFmtId="0" fontId="18" fillId="0" borderId="26" xfId="0" applyFont="1" applyBorder="1" applyAlignment="1">
      <alignment horizontal="center"/>
    </xf>
    <xf numFmtId="42" fontId="13" fillId="0" borderId="112" xfId="0" applyNumberFormat="1" applyFont="1" applyFill="1" applyBorder="1"/>
    <xf numFmtId="0" fontId="13" fillId="0" borderId="0" xfId="0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168" fontId="19" fillId="0" borderId="0" xfId="0" applyNumberFormat="1" applyFont="1" applyBorder="1"/>
    <xf numFmtId="0" fontId="23" fillId="0" borderId="74" xfId="0" applyFont="1" applyBorder="1" applyAlignment="1">
      <alignment horizontal="left"/>
    </xf>
    <xf numFmtId="0" fontId="13" fillId="0" borderId="22" xfId="0" applyFont="1" applyBorder="1" applyAlignment="1"/>
    <xf numFmtId="0" fontId="48" fillId="0" borderId="47" xfId="0" applyFont="1" applyFill="1" applyBorder="1"/>
    <xf numFmtId="0" fontId="10" fillId="0" borderId="48" xfId="0" applyFont="1" applyFill="1" applyBorder="1" applyAlignment="1">
      <alignment horizontal="center"/>
    </xf>
    <xf numFmtId="44" fontId="10" fillId="0" borderId="48" xfId="0" applyNumberFormat="1" applyFont="1" applyFill="1" applyBorder="1" applyAlignment="1">
      <alignment horizontal="center"/>
    </xf>
    <xf numFmtId="0" fontId="10" fillId="0" borderId="41" xfId="0" applyFont="1" applyBorder="1"/>
    <xf numFmtId="1" fontId="10" fillId="2" borderId="3" xfId="0" applyNumberFormat="1" applyFont="1" applyFill="1" applyBorder="1"/>
    <xf numFmtId="0" fontId="19" fillId="0" borderId="1" xfId="0" applyFont="1" applyBorder="1" applyAlignment="1">
      <alignment horizontal="center"/>
    </xf>
    <xf numFmtId="42" fontId="13" fillId="0" borderId="20" xfId="0" applyNumberFormat="1" applyFont="1" applyFill="1" applyBorder="1" applyAlignment="1">
      <alignment horizontal="center"/>
    </xf>
    <xf numFmtId="42" fontId="46" fillId="0" borderId="41" xfId="0" applyNumberFormat="1" applyFont="1" applyBorder="1" applyAlignment="1">
      <alignment horizontal="center" textRotation="90"/>
    </xf>
    <xf numFmtId="42" fontId="16" fillId="0" borderId="0" xfId="0" applyNumberFormat="1" applyFont="1" applyBorder="1" applyAlignment="1">
      <alignment horizontal="center" vertical="center"/>
    </xf>
    <xf numFmtId="42" fontId="13" fillId="0" borderId="5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16" fillId="0" borderId="18" xfId="0" applyFont="1" applyBorder="1"/>
    <xf numFmtId="44" fontId="16" fillId="0" borderId="77" xfId="1" applyNumberFormat="1" applyFont="1" applyFill="1" applyBorder="1"/>
    <xf numFmtId="167" fontId="10" fillId="0" borderId="35" xfId="0" applyNumberFormat="1" applyFont="1" applyBorder="1"/>
    <xf numFmtId="2" fontId="10" fillId="0" borderId="3" xfId="0" applyNumberFormat="1" applyFont="1" applyBorder="1"/>
    <xf numFmtId="42" fontId="10" fillId="0" borderId="16" xfId="1" applyNumberFormat="1" applyFont="1" applyBorder="1" applyAlignment="1">
      <alignment horizontal="center"/>
    </xf>
    <xf numFmtId="0" fontId="13" fillId="0" borderId="30" xfId="0" applyFont="1" applyBorder="1"/>
    <xf numFmtId="42" fontId="13" fillId="0" borderId="54" xfId="0" applyNumberFormat="1" applyFont="1" applyFill="1" applyBorder="1" applyAlignment="1">
      <alignment horizontal="center" vertical="center"/>
    </xf>
    <xf numFmtId="0" fontId="60" fillId="0" borderId="26" xfId="6" applyFont="1" applyBorder="1" applyAlignment="1">
      <alignment horizontal="center" vertical="center"/>
    </xf>
    <xf numFmtId="0" fontId="1" fillId="0" borderId="0" xfId="6"/>
    <xf numFmtId="0" fontId="1" fillId="0" borderId="26" xfId="6" applyBorder="1" applyAlignment="1">
      <alignment horizontal="center" vertical="center"/>
    </xf>
    <xf numFmtId="0" fontId="1" fillId="0" borderId="0" xfId="6" applyAlignment="1">
      <alignment horizontal="center"/>
    </xf>
    <xf numFmtId="0" fontId="16" fillId="0" borderId="26" xfId="6" applyFont="1" applyBorder="1"/>
    <xf numFmtId="0" fontId="61" fillId="10" borderId="26" xfId="6" applyFont="1" applyFill="1" applyBorder="1" applyAlignment="1">
      <alignment horizontal="center" vertical="center"/>
    </xf>
    <xf numFmtId="0" fontId="1" fillId="10" borderId="26" xfId="6" applyFill="1" applyBorder="1" applyAlignment="1">
      <alignment horizontal="center" vertical="center"/>
    </xf>
    <xf numFmtId="0" fontId="16" fillId="10" borderId="26" xfId="6" applyFont="1" applyFill="1" applyBorder="1"/>
    <xf numFmtId="0" fontId="1" fillId="0" borderId="0" xfId="6" applyAlignment="1">
      <alignment horizontal="center" vertical="center"/>
    </xf>
    <xf numFmtId="0" fontId="1" fillId="0" borderId="137" xfId="6" applyBorder="1" applyAlignment="1">
      <alignment horizontal="center"/>
    </xf>
    <xf numFmtId="0" fontId="1" fillId="0" borderId="0" xfId="6" applyFont="1" applyAlignment="1">
      <alignment horizontal="center"/>
    </xf>
    <xf numFmtId="164" fontId="61" fillId="0" borderId="138" xfId="2" applyNumberFormat="1" applyFont="1" applyBorder="1" applyAlignment="1">
      <alignment horizontal="center"/>
    </xf>
    <xf numFmtId="164" fontId="61" fillId="0" borderId="0" xfId="2" applyNumberFormat="1" applyFont="1" applyBorder="1" applyAlignment="1">
      <alignment horizontal="center"/>
    </xf>
    <xf numFmtId="0" fontId="59" fillId="0" borderId="136" xfId="6" applyFont="1" applyBorder="1" applyAlignment="1">
      <alignment horizontal="center"/>
    </xf>
    <xf numFmtId="164" fontId="1" fillId="0" borderId="0" xfId="6" applyNumberFormat="1" applyAlignment="1">
      <alignment horizontal="center"/>
    </xf>
    <xf numFmtId="0" fontId="13" fillId="0" borderId="1" xfId="0" applyNumberFormat="1" applyFont="1" applyFill="1" applyBorder="1" applyAlignment="1">
      <alignment horizontal="left" vertical="center"/>
    </xf>
    <xf numFmtId="42" fontId="13" fillId="0" borderId="44" xfId="0" applyNumberFormat="1" applyFont="1" applyFill="1" applyBorder="1"/>
    <xf numFmtId="42" fontId="19" fillId="0" borderId="52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/>
    </xf>
    <xf numFmtId="42" fontId="13" fillId="0" borderId="20" xfId="0" applyNumberFormat="1" applyFont="1" applyFill="1" applyBorder="1" applyAlignment="1">
      <alignment horizontal="center"/>
    </xf>
    <xf numFmtId="42" fontId="13" fillId="0" borderId="54" xfId="0" applyNumberFormat="1" applyFont="1" applyFill="1" applyBorder="1" applyAlignment="1">
      <alignment horizontal="center" vertical="center"/>
    </xf>
    <xf numFmtId="42" fontId="13" fillId="0" borderId="69" xfId="0" applyNumberFormat="1" applyFont="1" applyFill="1" applyBorder="1"/>
    <xf numFmtId="42" fontId="13" fillId="0" borderId="87" xfId="0" applyNumberFormat="1" applyFont="1" applyFill="1" applyBorder="1"/>
    <xf numFmtId="42" fontId="46" fillId="0" borderId="41" xfId="0" applyNumberFormat="1" applyFont="1" applyBorder="1" applyAlignment="1">
      <alignment textRotation="90"/>
    </xf>
    <xf numFmtId="0" fontId="16" fillId="11" borderId="26" xfId="6" applyFont="1" applyFill="1" applyBorder="1"/>
    <xf numFmtId="0" fontId="1" fillId="11" borderId="26" xfId="6" applyFill="1" applyBorder="1" applyAlignment="1">
      <alignment horizontal="center" vertical="center"/>
    </xf>
    <xf numFmtId="0" fontId="61" fillId="11" borderId="26" xfId="6" applyFont="1" applyFill="1" applyBorder="1" applyAlignment="1">
      <alignment horizontal="center" vertical="center"/>
    </xf>
    <xf numFmtId="0" fontId="13" fillId="0" borderId="40" xfId="0" applyFont="1" applyBorder="1"/>
    <xf numFmtId="0" fontId="13" fillId="0" borderId="87" xfId="0" applyFont="1" applyBorder="1" applyAlignment="1">
      <alignment horizontal="left"/>
    </xf>
    <xf numFmtId="168" fontId="0" fillId="0" borderId="48" xfId="0" applyNumberFormat="1" applyBorder="1"/>
    <xf numFmtId="42" fontId="0" fillId="0" borderId="48" xfId="0" applyNumberFormat="1" applyBorder="1"/>
    <xf numFmtId="0" fontId="0" fillId="0" borderId="41" xfId="0" applyBorder="1" applyAlignment="1">
      <alignment vertical="top"/>
    </xf>
    <xf numFmtId="42" fontId="54" fillId="0" borderId="3" xfId="0" applyNumberFormat="1" applyFont="1" applyBorder="1"/>
    <xf numFmtId="0" fontId="2" fillId="0" borderId="129" xfId="0" applyFont="1" applyBorder="1" applyAlignment="1">
      <alignment horizontal="center" wrapText="1"/>
    </xf>
    <xf numFmtId="0" fontId="2" fillId="0" borderId="129" xfId="0" applyFont="1" applyFill="1" applyBorder="1" applyAlignment="1">
      <alignment horizontal="center" wrapText="1"/>
    </xf>
    <xf numFmtId="0" fontId="2" fillId="0" borderId="129" xfId="0" applyFont="1" applyFill="1" applyBorder="1" applyAlignment="1">
      <alignment horizontal="center"/>
    </xf>
    <xf numFmtId="42" fontId="0" fillId="0" borderId="88" xfId="0" applyNumberFormat="1" applyBorder="1"/>
    <xf numFmtId="0" fontId="2" fillId="0" borderId="139" xfId="0" applyFont="1" applyBorder="1"/>
    <xf numFmtId="42" fontId="0" fillId="0" borderId="3" xfId="0" applyNumberFormat="1" applyBorder="1"/>
    <xf numFmtId="0" fontId="2" fillId="0" borderId="2" xfId="0" applyFont="1" applyBorder="1"/>
    <xf numFmtId="0" fontId="2" fillId="0" borderId="2" xfId="0" applyFont="1" applyFill="1" applyBorder="1"/>
    <xf numFmtId="0" fontId="0" fillId="0" borderId="2" xfId="0" applyBorder="1"/>
    <xf numFmtId="42" fontId="0" fillId="0" borderId="24" xfId="0" applyNumberFormat="1" applyBorder="1"/>
    <xf numFmtId="0" fontId="2" fillId="0" borderId="12" xfId="0" applyFont="1" applyBorder="1"/>
    <xf numFmtId="168" fontId="0" fillId="0" borderId="88" xfId="0" applyNumberFormat="1" applyBorder="1"/>
    <xf numFmtId="168" fontId="0" fillId="0" borderId="3" xfId="0" applyNumberFormat="1" applyBorder="1"/>
    <xf numFmtId="168" fontId="0" fillId="0" borderId="24" xfId="0" applyNumberFormat="1" applyBorder="1"/>
    <xf numFmtId="42" fontId="43" fillId="0" borderId="128" xfId="1" quotePrefix="1" applyNumberFormat="1" applyFont="1" applyFill="1" applyBorder="1"/>
    <xf numFmtId="42" fontId="43" fillId="0" borderId="11" xfId="1" quotePrefix="1" applyNumberFormat="1" applyFont="1" applyFill="1" applyBorder="1"/>
    <xf numFmtId="42" fontId="43" fillId="0" borderId="89" xfId="1" applyNumberFormat="1" applyFont="1" applyFill="1" applyBorder="1"/>
    <xf numFmtId="0" fontId="0" fillId="0" borderId="88" xfId="0" applyBorder="1"/>
    <xf numFmtId="0" fontId="2" fillId="0" borderId="3" xfId="0" applyFont="1" applyBorder="1"/>
    <xf numFmtId="0" fontId="2" fillId="0" borderId="24" xfId="0" applyFont="1" applyBorder="1"/>
    <xf numFmtId="42" fontId="43" fillId="0" borderId="114" xfId="1" applyNumberFormat="1" applyFont="1" applyFill="1" applyBorder="1"/>
    <xf numFmtId="42" fontId="43" fillId="0" borderId="11" xfId="1" applyNumberFormat="1" applyFont="1" applyFill="1" applyBorder="1"/>
    <xf numFmtId="168" fontId="0" fillId="0" borderId="29" xfId="0" applyNumberFormat="1" applyBorder="1"/>
    <xf numFmtId="42" fontId="0" fillId="0" borderId="29" xfId="0" applyNumberFormat="1" applyBorder="1"/>
    <xf numFmtId="0" fontId="2" fillId="0" borderId="29" xfId="0" applyFont="1" applyBorder="1"/>
    <xf numFmtId="0" fontId="0" fillId="0" borderId="3" xfId="0" applyBorder="1"/>
    <xf numFmtId="0" fontId="0" fillId="0" borderId="24" xfId="0" applyBorder="1"/>
    <xf numFmtId="42" fontId="43" fillId="0" borderId="128" xfId="1" applyNumberFormat="1" applyFont="1" applyFill="1" applyBorder="1"/>
    <xf numFmtId="42" fontId="43" fillId="0" borderId="137" xfId="1" applyNumberFormat="1" applyFont="1" applyFill="1" applyBorder="1"/>
    <xf numFmtId="0" fontId="15" fillId="0" borderId="24" xfId="0" applyFont="1" applyBorder="1" applyAlignment="1">
      <alignment horizontal="left"/>
    </xf>
    <xf numFmtId="0" fontId="0" fillId="0" borderId="54" xfId="0" applyBorder="1"/>
    <xf numFmtId="0" fontId="24" fillId="0" borderId="13" xfId="0" applyFont="1" applyBorder="1" applyAlignment="1">
      <alignment horizontal="left" vertical="center"/>
    </xf>
    <xf numFmtId="42" fontId="54" fillId="0" borderId="29" xfId="0" applyNumberFormat="1" applyFont="1" applyBorder="1" applyAlignment="1">
      <alignment vertical="center"/>
    </xf>
    <xf numFmtId="42" fontId="43" fillId="0" borderId="29" xfId="0" applyNumberFormat="1" applyFont="1" applyBorder="1" applyAlignment="1">
      <alignment vertical="center"/>
    </xf>
    <xf numFmtId="168" fontId="0" fillId="0" borderId="29" xfId="0" applyNumberFormat="1" applyBorder="1" applyAlignment="1">
      <alignment vertical="center"/>
    </xf>
    <xf numFmtId="42" fontId="0" fillId="0" borderId="29" xfId="0" applyNumberFormat="1" applyBorder="1" applyAlignment="1">
      <alignment vertical="center"/>
    </xf>
    <xf numFmtId="0" fontId="11" fillId="0" borderId="54" xfId="0" applyFont="1" applyBorder="1" applyAlignment="1">
      <alignment horizontal="left" vertical="center"/>
    </xf>
    <xf numFmtId="0" fontId="15" fillId="0" borderId="13" xfId="0" applyFont="1" applyBorder="1" applyAlignment="1">
      <alignment horizontal="left"/>
    </xf>
    <xf numFmtId="0" fontId="15" fillId="0" borderId="29" xfId="0" applyFont="1" applyBorder="1" applyAlignment="1">
      <alignment vertical="top"/>
    </xf>
    <xf numFmtId="0" fontId="60" fillId="0" borderId="26" xfId="6" applyFont="1" applyBorder="1"/>
    <xf numFmtId="42" fontId="19" fillId="0" borderId="42" xfId="0" applyNumberFormat="1" applyFont="1" applyFill="1" applyBorder="1" applyAlignment="1">
      <alignment horizontal="center" vertical="center"/>
    </xf>
    <xf numFmtId="42" fontId="19" fillId="0" borderId="73" xfId="0" applyNumberFormat="1" applyFont="1" applyFill="1" applyBorder="1" applyAlignment="1">
      <alignment horizontal="center" vertical="center"/>
    </xf>
    <xf numFmtId="42" fontId="19" fillId="0" borderId="45" xfId="0" applyNumberFormat="1" applyFont="1" applyFill="1" applyBorder="1" applyAlignment="1">
      <alignment horizontal="center" vertical="center"/>
    </xf>
    <xf numFmtId="42" fontId="46" fillId="0" borderId="41" xfId="0" applyNumberFormat="1" applyFont="1" applyBorder="1" applyAlignment="1">
      <alignment horizontal="center" textRotation="90"/>
    </xf>
    <xf numFmtId="42" fontId="16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2" fontId="13" fillId="0" borderId="20" xfId="0" applyNumberFormat="1" applyFont="1" applyFill="1" applyBorder="1" applyAlignment="1">
      <alignment horizontal="center"/>
    </xf>
    <xf numFmtId="42" fontId="4" fillId="0" borderId="30" xfId="0" applyNumberFormat="1" applyFont="1" applyFill="1" applyBorder="1" applyAlignment="1">
      <alignment horizontal="center"/>
    </xf>
    <xf numFmtId="44" fontId="13" fillId="0" borderId="19" xfId="0" applyNumberFormat="1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33" fillId="5" borderId="47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42" fontId="18" fillId="0" borderId="54" xfId="0" applyNumberFormat="1" applyFont="1" applyBorder="1" applyAlignment="1">
      <alignment horizontal="center" vertical="center"/>
    </xf>
    <xf numFmtId="42" fontId="18" fillId="0" borderId="74" xfId="0" applyNumberFormat="1" applyFont="1" applyBorder="1" applyAlignment="1">
      <alignment horizontal="center" vertical="center"/>
    </xf>
    <xf numFmtId="44" fontId="13" fillId="0" borderId="54" xfId="0" applyNumberFormat="1" applyFont="1" applyFill="1" applyBorder="1" applyAlignment="1">
      <alignment horizontal="center" vertical="center"/>
    </xf>
    <xf numFmtId="44" fontId="13" fillId="0" borderId="69" xfId="0" applyNumberFormat="1" applyFont="1" applyFill="1" applyBorder="1" applyAlignment="1">
      <alignment horizontal="center" vertical="center"/>
    </xf>
    <xf numFmtId="42" fontId="18" fillId="0" borderId="54" xfId="0" applyNumberFormat="1" applyFont="1" applyFill="1" applyBorder="1" applyAlignment="1">
      <alignment horizontal="center" vertical="center"/>
    </xf>
    <xf numFmtId="42" fontId="18" fillId="0" borderId="40" xfId="0" applyNumberFormat="1" applyFont="1" applyFill="1" applyBorder="1" applyAlignment="1">
      <alignment horizontal="center" vertical="center"/>
    </xf>
    <xf numFmtId="42" fontId="18" fillId="0" borderId="74" xfId="0" applyNumberFormat="1" applyFont="1" applyFill="1" applyBorder="1" applyAlignment="1">
      <alignment horizontal="center" vertical="center"/>
    </xf>
    <xf numFmtId="42" fontId="18" fillId="0" borderId="40" xfId="0" applyNumberFormat="1" applyFont="1" applyBorder="1" applyAlignment="1">
      <alignment horizontal="center" vertical="center"/>
    </xf>
    <xf numFmtId="42" fontId="13" fillId="0" borderId="54" xfId="0" applyNumberFormat="1" applyFont="1" applyFill="1" applyBorder="1" applyAlignment="1">
      <alignment horizontal="center" vertical="center"/>
    </xf>
    <xf numFmtId="42" fontId="13" fillId="0" borderId="40" xfId="0" applyNumberFormat="1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 wrapText="1"/>
    </xf>
    <xf numFmtId="0" fontId="10" fillId="0" borderId="117" xfId="0" applyFont="1" applyFill="1" applyBorder="1" applyAlignment="1">
      <alignment horizontal="center" vertical="center" wrapText="1"/>
    </xf>
    <xf numFmtId="0" fontId="10" fillId="0" borderId="1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164" fontId="10" fillId="0" borderId="82" xfId="0" applyNumberFormat="1" applyFont="1" applyBorder="1" applyAlignment="1">
      <alignment horizontal="center"/>
    </xf>
    <xf numFmtId="164" fontId="10" fillId="0" borderId="75" xfId="0" applyNumberFormat="1" applyFont="1" applyBorder="1" applyAlignment="1">
      <alignment horizontal="center"/>
    </xf>
    <xf numFmtId="164" fontId="10" fillId="0" borderId="83" xfId="0" applyNumberFormat="1" applyFont="1" applyBorder="1" applyAlignment="1">
      <alignment horizontal="center"/>
    </xf>
    <xf numFmtId="0" fontId="52" fillId="6" borderId="0" xfId="0" applyFont="1" applyFill="1" applyAlignment="1">
      <alignment horizontal="center" vertical="center" textRotation="90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22" fillId="0" borderId="131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12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left"/>
    </xf>
    <xf numFmtId="0" fontId="0" fillId="0" borderId="26" xfId="0" applyBorder="1" applyAlignment="1"/>
  </cellXfs>
  <cellStyles count="7">
    <cellStyle name="Currency" xfId="1" builtinId="4"/>
    <cellStyle name="Normal" xfId="0" builtinId="0"/>
    <cellStyle name="Normal 2" xfId="2"/>
    <cellStyle name="Normal 3" xfId="3"/>
    <cellStyle name="Normal 4" xfId="6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23" bestFit="1" customWidth="1"/>
    <col min="2" max="2" width="30.28515625" bestFit="1" customWidth="1"/>
    <col min="3" max="3" width="3" customWidth="1"/>
    <col min="4" max="4" width="14.42578125" style="593" customWidth="1"/>
    <col min="5" max="5" width="3" customWidth="1"/>
    <col min="6" max="6" width="14.42578125" style="322" bestFit="1" customWidth="1"/>
    <col min="7" max="7" width="12.7109375" customWidth="1"/>
    <col min="8" max="8" width="11.85546875" bestFit="1" customWidth="1"/>
    <col min="9" max="9" width="46.5703125" bestFit="1" customWidth="1"/>
  </cols>
  <sheetData>
    <row r="1" spans="1:9" ht="33" customHeight="1" thickBot="1" x14ac:dyDescent="0.25">
      <c r="A1" s="893">
        <v>2021</v>
      </c>
      <c r="B1" s="894" t="s">
        <v>445</v>
      </c>
      <c r="C1" s="1033"/>
      <c r="D1" s="895" t="s">
        <v>811</v>
      </c>
      <c r="E1" s="1027"/>
      <c r="F1" s="896" t="s">
        <v>861</v>
      </c>
      <c r="G1" s="997"/>
      <c r="H1" s="998"/>
      <c r="I1" s="999"/>
    </row>
    <row r="2" spans="1:9" ht="12.75" customHeight="1" x14ac:dyDescent="0.2">
      <c r="A2" s="891">
        <v>407</v>
      </c>
      <c r="B2" s="892" t="s">
        <v>214</v>
      </c>
      <c r="C2" s="588"/>
      <c r="D2" s="594">
        <v>92000</v>
      </c>
      <c r="E2" s="534"/>
      <c r="F2" s="897">
        <f>REVENUE!L3</f>
        <v>80000</v>
      </c>
      <c r="G2" s="1008"/>
      <c r="H2" s="1000"/>
      <c r="I2" s="1001"/>
    </row>
    <row r="3" spans="1:9" ht="12.6" customHeight="1" x14ac:dyDescent="0.2">
      <c r="A3" s="68">
        <v>410</v>
      </c>
      <c r="B3" s="69" t="s">
        <v>213</v>
      </c>
      <c r="C3" s="588"/>
      <c r="D3" s="996">
        <v>2804310</v>
      </c>
      <c r="E3" s="534"/>
      <c r="F3" s="898">
        <f>REVENUE!L4</f>
        <v>2894279.5104000005</v>
      </c>
      <c r="G3" s="1009"/>
      <c r="H3" s="1002"/>
      <c r="I3" s="1003"/>
    </row>
    <row r="4" spans="1:9" ht="12.6" customHeight="1" x14ac:dyDescent="0.2">
      <c r="A4" s="68">
        <v>415</v>
      </c>
      <c r="B4" s="69" t="s">
        <v>17</v>
      </c>
      <c r="C4" s="588"/>
      <c r="D4" s="996">
        <v>3027730</v>
      </c>
      <c r="E4" s="534"/>
      <c r="F4" s="898">
        <f>REVENUE!L7</f>
        <v>3027730</v>
      </c>
      <c r="G4" s="1009"/>
      <c r="H4" s="1002"/>
      <c r="I4" s="1003"/>
    </row>
    <row r="5" spans="1:9" ht="12.6" customHeight="1" x14ac:dyDescent="0.2">
      <c r="A5" s="68" t="s">
        <v>251</v>
      </c>
      <c r="B5" s="69" t="s">
        <v>252</v>
      </c>
      <c r="C5" s="588"/>
      <c r="D5" s="996">
        <v>38000</v>
      </c>
      <c r="E5" s="534"/>
      <c r="F5" s="898">
        <f>REVENUE!M8</f>
        <v>38000</v>
      </c>
      <c r="G5" s="1009"/>
      <c r="H5" s="1002"/>
      <c r="I5" s="1004"/>
    </row>
    <row r="6" spans="1:9" ht="12.6" customHeight="1" x14ac:dyDescent="0.2">
      <c r="A6" s="68" t="s">
        <v>58</v>
      </c>
      <c r="B6" s="69" t="s">
        <v>59</v>
      </c>
      <c r="C6" s="588"/>
      <c r="D6" s="996">
        <v>108750</v>
      </c>
      <c r="E6" s="534"/>
      <c r="F6" s="898">
        <f>REVENUE!M11</f>
        <v>108750</v>
      </c>
      <c r="G6" s="1009"/>
      <c r="H6" s="1002"/>
      <c r="I6" s="1004"/>
    </row>
    <row r="7" spans="1:9" hidden="1" x14ac:dyDescent="0.2">
      <c r="A7" s="68">
        <v>475</v>
      </c>
      <c r="B7" s="69" t="s">
        <v>60</v>
      </c>
      <c r="C7" s="588"/>
      <c r="D7" s="996"/>
      <c r="E7" s="534"/>
      <c r="F7" s="898">
        <f>REVENUE!I14</f>
        <v>0</v>
      </c>
      <c r="G7" s="1009"/>
      <c r="H7" s="1002"/>
      <c r="I7" s="1005"/>
    </row>
    <row r="8" spans="1:9" ht="12.6" customHeight="1" x14ac:dyDescent="0.2">
      <c r="A8" s="68" t="s">
        <v>61</v>
      </c>
      <c r="B8" s="69" t="s">
        <v>62</v>
      </c>
      <c r="C8" s="588"/>
      <c r="D8" s="996">
        <v>3500</v>
      </c>
      <c r="E8" s="534"/>
      <c r="F8" s="898">
        <f>REVENUE!M15</f>
        <v>3500</v>
      </c>
      <c r="G8" s="1009"/>
      <c r="H8" s="1002"/>
      <c r="I8" s="1003"/>
    </row>
    <row r="9" spans="1:9" ht="12.6" customHeight="1" x14ac:dyDescent="0.2">
      <c r="A9" s="581" t="s">
        <v>326</v>
      </c>
      <c r="B9" s="383" t="s">
        <v>63</v>
      </c>
      <c r="C9" s="588"/>
      <c r="D9" s="594">
        <v>1749650</v>
      </c>
      <c r="E9" s="534"/>
      <c r="F9" s="898">
        <f>REVENUE!M17</f>
        <v>1750500</v>
      </c>
      <c r="G9" s="1010"/>
      <c r="H9" s="1006"/>
      <c r="I9" s="1007"/>
    </row>
    <row r="10" spans="1:9" s="11" customFormat="1" ht="3" customHeight="1" x14ac:dyDescent="0.2">
      <c r="A10" s="583"/>
      <c r="B10" s="584"/>
      <c r="C10" s="90"/>
      <c r="D10" s="610"/>
      <c r="E10" s="578"/>
      <c r="F10" s="582"/>
      <c r="G10" s="993"/>
      <c r="H10" s="994"/>
      <c r="I10" s="154"/>
    </row>
    <row r="11" spans="1:9" s="324" customFormat="1" ht="20.25" customHeight="1" x14ac:dyDescent="0.2">
      <c r="A11" s="323"/>
      <c r="B11" s="1035" t="s">
        <v>105</v>
      </c>
      <c r="C11" s="611"/>
      <c r="D11" s="1029">
        <f>SUM(D2:D10)</f>
        <v>7823940</v>
      </c>
      <c r="E11" s="580"/>
      <c r="F11" s="1030">
        <f>SUM(F2:F10)</f>
        <v>7902759.510400001</v>
      </c>
      <c r="G11" s="1031"/>
      <c r="H11" s="1032"/>
      <c r="I11" s="995"/>
    </row>
    <row r="12" spans="1:9" ht="22.5" customHeight="1" thickBot="1" x14ac:dyDescent="0.25">
      <c r="A12" s="321" t="s">
        <v>325</v>
      </c>
      <c r="B12" s="251" t="s">
        <v>856</v>
      </c>
      <c r="C12" s="1028"/>
      <c r="D12" s="597"/>
      <c r="E12" s="534"/>
      <c r="F12" s="899"/>
      <c r="G12" s="900"/>
      <c r="H12" s="578"/>
      <c r="I12" s="11"/>
    </row>
    <row r="13" spans="1:9" ht="12.6" customHeight="1" x14ac:dyDescent="0.2">
      <c r="A13" s="71">
        <v>501</v>
      </c>
      <c r="B13" s="72" t="s">
        <v>93</v>
      </c>
      <c r="C13" s="589"/>
      <c r="D13" s="605">
        <v>29347</v>
      </c>
      <c r="E13" s="578"/>
      <c r="F13" s="1011">
        <f>'501 PROPERTY TAX FEES'!K12</f>
        <v>29527.9</v>
      </c>
      <c r="G13" s="1008"/>
      <c r="H13" s="1000"/>
      <c r="I13" s="1014"/>
    </row>
    <row r="14" spans="1:9" ht="12.6" customHeight="1" x14ac:dyDescent="0.2">
      <c r="A14" s="73">
        <v>502</v>
      </c>
      <c r="B14" s="70" t="s">
        <v>156</v>
      </c>
      <c r="C14" s="590"/>
      <c r="D14" s="598">
        <v>60555</v>
      </c>
      <c r="E14" s="578"/>
      <c r="F14" s="1012">
        <f>'502 SALES TAX COLLECTION COSTS'!K12</f>
        <v>60554.6</v>
      </c>
      <c r="G14" s="1009"/>
      <c r="H14" s="1002"/>
      <c r="I14" s="1015"/>
    </row>
    <row r="15" spans="1:9" ht="12.6" customHeight="1" x14ac:dyDescent="0.2">
      <c r="A15" s="74">
        <v>503</v>
      </c>
      <c r="B15" s="75" t="s">
        <v>112</v>
      </c>
      <c r="C15" s="590"/>
      <c r="D15" s="603">
        <v>32630</v>
      </c>
      <c r="E15" s="578"/>
      <c r="F15" s="1013">
        <f>'503 SUNSET VALLEY'!K11</f>
        <v>34913.7255</v>
      </c>
      <c r="G15" s="1010"/>
      <c r="H15" s="1006"/>
      <c r="I15" s="1016"/>
    </row>
    <row r="16" spans="1:9" ht="12.6" customHeight="1" x14ac:dyDescent="0.2">
      <c r="A16" s="76">
        <v>601</v>
      </c>
      <c r="B16" s="77" t="s">
        <v>209</v>
      </c>
      <c r="C16" s="590"/>
      <c r="D16" s="602">
        <v>1520000</v>
      </c>
      <c r="E16" s="578"/>
      <c r="F16" s="1017">
        <f>'601 APPARATUS PMTS.'!K14+K14</f>
        <v>1423026</v>
      </c>
      <c r="G16" s="1019"/>
      <c r="H16" s="1020"/>
      <c r="I16" s="1021"/>
    </row>
    <row r="17" spans="1:9" ht="12.6" customHeight="1" x14ac:dyDescent="0.2">
      <c r="A17" s="73">
        <v>603</v>
      </c>
      <c r="B17" s="78" t="s">
        <v>194</v>
      </c>
      <c r="C17" s="589"/>
      <c r="D17" s="599">
        <v>108220</v>
      </c>
      <c r="E17" s="578"/>
      <c r="F17" s="1018">
        <f>'603 DISPATCH &amp; COMM'!K21</f>
        <v>96126.88</v>
      </c>
      <c r="G17" s="1009"/>
      <c r="H17" s="1002"/>
      <c r="I17" s="1015"/>
    </row>
    <row r="18" spans="1:9" ht="12.6" customHeight="1" x14ac:dyDescent="0.2">
      <c r="A18" s="68">
        <v>604</v>
      </c>
      <c r="B18" s="70" t="s">
        <v>106</v>
      </c>
      <c r="C18" s="590"/>
      <c r="D18" s="598">
        <v>29000</v>
      </c>
      <c r="E18" s="578"/>
      <c r="F18" s="1018">
        <f>'604 FUEL'!K9</f>
        <v>26000</v>
      </c>
      <c r="G18" s="1009"/>
      <c r="H18" s="1002"/>
      <c r="I18" s="1022"/>
    </row>
    <row r="19" spans="1:9" ht="12.6" customHeight="1" x14ac:dyDescent="0.2">
      <c r="A19" s="73">
        <v>605</v>
      </c>
      <c r="B19" s="79" t="s">
        <v>169</v>
      </c>
      <c r="C19" s="591"/>
      <c r="D19" s="600">
        <v>22873</v>
      </c>
      <c r="E19" s="578"/>
      <c r="F19" s="1018">
        <f>'605 SCBA'!K25</f>
        <v>11233</v>
      </c>
      <c r="G19" s="1009"/>
      <c r="H19" s="1002"/>
      <c r="I19" s="1015"/>
    </row>
    <row r="20" spans="1:9" ht="12.6" customHeight="1" x14ac:dyDescent="0.2">
      <c r="A20" s="73">
        <v>606</v>
      </c>
      <c r="B20" s="79" t="s">
        <v>101</v>
      </c>
      <c r="C20" s="591"/>
      <c r="D20" s="600">
        <v>103800</v>
      </c>
      <c r="E20" s="578"/>
      <c r="F20" s="1018">
        <f>'606 VEH MTN REP'!K24</f>
        <v>108050</v>
      </c>
      <c r="G20" s="1009"/>
      <c r="H20" s="1002"/>
      <c r="I20" s="1022"/>
    </row>
    <row r="21" spans="1:9" ht="12.6" customHeight="1" x14ac:dyDescent="0.2">
      <c r="A21" s="73">
        <v>608</v>
      </c>
      <c r="B21" s="78" t="s">
        <v>195</v>
      </c>
      <c r="C21" s="589"/>
      <c r="D21" s="599">
        <v>88016</v>
      </c>
      <c r="E21" s="578"/>
      <c r="F21" s="1018">
        <f>'608 VEHICLE SUPPLIES'!K31</f>
        <v>86579</v>
      </c>
      <c r="G21" s="1009"/>
      <c r="H21" s="1002"/>
      <c r="I21" s="1015"/>
    </row>
    <row r="22" spans="1:9" ht="12.6" customHeight="1" x14ac:dyDescent="0.2">
      <c r="A22" s="73">
        <v>609</v>
      </c>
      <c r="B22" s="78" t="s">
        <v>151</v>
      </c>
      <c r="C22" s="589"/>
      <c r="D22" s="599">
        <v>76232</v>
      </c>
      <c r="E22" s="250"/>
      <c r="F22" s="1018">
        <f>'609 UNIFORMS &amp; PROTECTIVE GEAR'!K12</f>
        <v>63062.3</v>
      </c>
      <c r="G22" s="1009"/>
      <c r="H22" s="1002"/>
      <c r="I22" s="1015"/>
    </row>
    <row r="23" spans="1:9" ht="12.6" customHeight="1" x14ac:dyDescent="0.2">
      <c r="A23" s="73">
        <v>611</v>
      </c>
      <c r="B23" s="78" t="s">
        <v>557</v>
      </c>
      <c r="C23" s="589"/>
      <c r="D23" s="599">
        <v>25200</v>
      </c>
      <c r="E23" s="250"/>
      <c r="F23" s="1018">
        <f>'611 EMS SUPPLIES'!K13</f>
        <v>21000</v>
      </c>
      <c r="G23" s="1009"/>
      <c r="H23" s="1002"/>
      <c r="I23" s="1015"/>
    </row>
    <row r="24" spans="1:9" ht="12.6" customHeight="1" x14ac:dyDescent="0.2">
      <c r="A24" s="74">
        <v>612</v>
      </c>
      <c r="B24" s="80" t="s">
        <v>556</v>
      </c>
      <c r="C24" s="589"/>
      <c r="D24" s="612">
        <v>1250</v>
      </c>
      <c r="E24" s="250"/>
      <c r="F24" s="1013">
        <f>'612 REHAB SUPPLIES'!K10</f>
        <v>2350</v>
      </c>
      <c r="G24" s="1009"/>
      <c r="H24" s="1002"/>
      <c r="I24" s="1015"/>
    </row>
    <row r="25" spans="1:9" ht="12.6" customHeight="1" x14ac:dyDescent="0.2">
      <c r="A25" s="74">
        <v>613</v>
      </c>
      <c r="B25" s="80" t="s">
        <v>217</v>
      </c>
      <c r="C25" s="589"/>
      <c r="D25" s="604">
        <v>21998</v>
      </c>
      <c r="E25" s="250"/>
      <c r="F25" s="1013">
        <f>'613 AUTO INSURANCE'!K8</f>
        <v>24197.800000000003</v>
      </c>
      <c r="G25" s="1010"/>
      <c r="H25" s="1006"/>
      <c r="I25" s="1016"/>
    </row>
    <row r="26" spans="1:9" ht="12.6" customHeight="1" x14ac:dyDescent="0.2">
      <c r="A26" s="81">
        <v>632</v>
      </c>
      <c r="B26" s="77" t="s">
        <v>170</v>
      </c>
      <c r="C26" s="590"/>
      <c r="D26" s="602">
        <v>128930</v>
      </c>
      <c r="E26" s="250"/>
      <c r="F26" s="1017">
        <f>'632 FIRE &amp; RESCUE TRAINING'!K38</f>
        <v>124330</v>
      </c>
      <c r="G26" s="1019"/>
      <c r="H26" s="1020"/>
      <c r="I26" s="1021"/>
    </row>
    <row r="27" spans="1:9" ht="12.6" customHeight="1" x14ac:dyDescent="0.2">
      <c r="A27" s="73">
        <v>633</v>
      </c>
      <c r="B27" s="78" t="s">
        <v>154</v>
      </c>
      <c r="C27" s="589"/>
      <c r="D27" s="599">
        <v>71445</v>
      </c>
      <c r="E27" s="250"/>
      <c r="F27" s="1018">
        <f>'633 SEMINARS &amp; CONFERENCES'!K23</f>
        <v>64395</v>
      </c>
      <c r="G27" s="1009"/>
      <c r="H27" s="1002"/>
      <c r="I27" s="1015"/>
    </row>
    <row r="28" spans="1:9" ht="12.6" customHeight="1" x14ac:dyDescent="0.2">
      <c r="A28" s="74">
        <v>634</v>
      </c>
      <c r="B28" s="80" t="s">
        <v>555</v>
      </c>
      <c r="C28" s="589"/>
      <c r="D28" s="599">
        <v>63750</v>
      </c>
      <c r="E28" s="250"/>
      <c r="F28" s="1013">
        <f>'634 FIRE ACADEMY'!K33</f>
        <v>82825</v>
      </c>
      <c r="G28" s="1009"/>
      <c r="H28" s="1002"/>
      <c r="I28" s="1015"/>
    </row>
    <row r="29" spans="1:9" ht="12.6" customHeight="1" x14ac:dyDescent="0.2">
      <c r="A29" s="74">
        <v>635</v>
      </c>
      <c r="B29" s="80" t="s">
        <v>554</v>
      </c>
      <c r="C29" s="589"/>
      <c r="D29" s="612">
        <v>21250</v>
      </c>
      <c r="E29" s="250"/>
      <c r="F29" s="1013">
        <f>'635 EMT CERT COURSE'!K19</f>
        <v>21250</v>
      </c>
      <c r="G29" s="1009"/>
      <c r="H29" s="1002"/>
      <c r="I29" s="1015"/>
    </row>
    <row r="30" spans="1:9" ht="12.6" customHeight="1" x14ac:dyDescent="0.2">
      <c r="A30" s="83">
        <v>636</v>
      </c>
      <c r="B30" s="84" t="s">
        <v>329</v>
      </c>
      <c r="C30" s="589"/>
      <c r="D30" s="604">
        <v>2598</v>
      </c>
      <c r="E30" s="250"/>
      <c r="F30" s="1013">
        <f>'636 VENDING MACHINES'!J12</f>
        <v>2598</v>
      </c>
      <c r="G30" s="1010"/>
      <c r="H30" s="1006"/>
      <c r="I30" s="1023"/>
    </row>
    <row r="31" spans="1:9" ht="12.6" customHeight="1" x14ac:dyDescent="0.2">
      <c r="A31" s="71">
        <v>641</v>
      </c>
      <c r="B31" s="72" t="s">
        <v>153</v>
      </c>
      <c r="C31" s="589"/>
      <c r="D31" s="605">
        <v>1199748</v>
      </c>
      <c r="E31" s="250"/>
      <c r="F31" s="1017">
        <f>'641 BENEFITS'!J27</f>
        <v>1236092.6186283743</v>
      </c>
      <c r="G31" s="1019"/>
      <c r="H31" s="1020"/>
      <c r="I31" s="1021"/>
    </row>
    <row r="32" spans="1:9" ht="12.6" customHeight="1" x14ac:dyDescent="0.2">
      <c r="A32" s="73">
        <v>642</v>
      </c>
      <c r="B32" s="78" t="s">
        <v>458</v>
      </c>
      <c r="C32" s="589"/>
      <c r="D32" s="599">
        <v>2937714</v>
      </c>
      <c r="E32" s="250"/>
      <c r="F32" s="1024">
        <f>'642 PAYROLL'!K47</f>
        <v>3089852.6680000001</v>
      </c>
      <c r="G32" s="1009"/>
      <c r="H32" s="1002"/>
      <c r="I32" s="1015"/>
    </row>
    <row r="33" spans="1:9" ht="12.6" customHeight="1" x14ac:dyDescent="0.2">
      <c r="A33" s="73">
        <v>643</v>
      </c>
      <c r="B33" s="78" t="s">
        <v>36</v>
      </c>
      <c r="C33" s="589"/>
      <c r="D33" s="599">
        <v>5050</v>
      </c>
      <c r="E33" s="250"/>
      <c r="F33" s="1018">
        <f>'643 RECOGNITION'!K14</f>
        <v>5450</v>
      </c>
      <c r="G33" s="1009"/>
      <c r="H33" s="1002"/>
      <c r="I33" s="1015"/>
    </row>
    <row r="34" spans="1:9" ht="12.6" customHeight="1" x14ac:dyDescent="0.2">
      <c r="A34" s="73">
        <v>644</v>
      </c>
      <c r="B34" s="78" t="s">
        <v>64</v>
      </c>
      <c r="C34" s="589"/>
      <c r="D34" s="599">
        <v>16490</v>
      </c>
      <c r="E34" s="250"/>
      <c r="F34" s="1013">
        <f>'644 CERTIFICATIONS'!K22</f>
        <v>12915</v>
      </c>
      <c r="G34" s="1009"/>
      <c r="H34" s="1002"/>
      <c r="I34" s="1022"/>
    </row>
    <row r="35" spans="1:9" ht="11.25" customHeight="1" x14ac:dyDescent="0.2">
      <c r="A35" s="83">
        <v>645</v>
      </c>
      <c r="B35" s="84" t="s">
        <v>94</v>
      </c>
      <c r="C35" s="589"/>
      <c r="D35" s="604">
        <v>11525</v>
      </c>
      <c r="E35" s="250"/>
      <c r="F35" s="1013">
        <f>'645 RECRUITMENT'!K18</f>
        <v>3250</v>
      </c>
      <c r="G35" s="1010"/>
      <c r="H35" s="1006"/>
      <c r="I35" s="1016"/>
    </row>
    <row r="36" spans="1:9" ht="12.6" customHeight="1" x14ac:dyDescent="0.2">
      <c r="A36" s="81">
        <v>651</v>
      </c>
      <c r="B36" s="82" t="s">
        <v>152</v>
      </c>
      <c r="C36" s="589"/>
      <c r="D36" s="605">
        <v>77830</v>
      </c>
      <c r="E36" s="250"/>
      <c r="F36" s="1017">
        <f>'651 BLDG GROUND MAINT'!K40</f>
        <v>123880</v>
      </c>
      <c r="G36" s="1019"/>
      <c r="H36" s="1020"/>
      <c r="I36" s="1021"/>
    </row>
    <row r="37" spans="1:9" ht="12.6" customHeight="1" x14ac:dyDescent="0.2">
      <c r="A37" s="73">
        <v>652</v>
      </c>
      <c r="B37" s="78" t="s">
        <v>148</v>
      </c>
      <c r="C37" s="589"/>
      <c r="D37" s="599">
        <v>10700</v>
      </c>
      <c r="E37" s="250"/>
      <c r="F37" s="1018">
        <f>'652 OFFICE SUPPLIES'!K20</f>
        <v>9600</v>
      </c>
      <c r="G37" s="1009"/>
      <c r="H37" s="1002"/>
      <c r="I37" s="1022"/>
    </row>
    <row r="38" spans="1:9" ht="12.6" customHeight="1" x14ac:dyDescent="0.2">
      <c r="A38" s="73">
        <v>653</v>
      </c>
      <c r="B38" s="78" t="s">
        <v>157</v>
      </c>
      <c r="C38" s="589"/>
      <c r="D38" s="599">
        <v>12950</v>
      </c>
      <c r="E38" s="578"/>
      <c r="F38" s="1018">
        <f>'653 STATION SUPPLIES'!K16</f>
        <v>20650</v>
      </c>
      <c r="G38" s="1009"/>
      <c r="H38" s="1002"/>
      <c r="I38" s="1022"/>
    </row>
    <row r="39" spans="1:9" ht="12.6" customHeight="1" x14ac:dyDescent="0.2">
      <c r="A39" s="73">
        <v>654</v>
      </c>
      <c r="B39" s="78" t="s">
        <v>110</v>
      </c>
      <c r="C39" s="589"/>
      <c r="D39" s="599">
        <v>2650</v>
      </c>
      <c r="E39" s="578"/>
      <c r="F39" s="1018">
        <f>'654 BANK FEES'!K13</f>
        <v>2650</v>
      </c>
      <c r="G39" s="1009"/>
      <c r="H39" s="1002"/>
      <c r="I39" s="1015"/>
    </row>
    <row r="40" spans="1:9" ht="12.6" customHeight="1" x14ac:dyDescent="0.2">
      <c r="A40" s="73">
        <v>655</v>
      </c>
      <c r="B40" s="78" t="s">
        <v>155</v>
      </c>
      <c r="C40" s="589"/>
      <c r="D40" s="599">
        <v>5057</v>
      </c>
      <c r="E40" s="578"/>
      <c r="F40" s="1018">
        <f>'655 DUES AND SUBSCRIPTIONS'!K23</f>
        <v>5120.2551999999996</v>
      </c>
      <c r="G40" s="1009"/>
      <c r="H40" s="1002"/>
      <c r="I40" s="1015"/>
    </row>
    <row r="41" spans="1:9" ht="12.6" customHeight="1" x14ac:dyDescent="0.2">
      <c r="A41" s="73">
        <v>656</v>
      </c>
      <c r="B41" s="78" t="s">
        <v>111</v>
      </c>
      <c r="C41" s="589"/>
      <c r="D41" s="599">
        <v>40858</v>
      </c>
      <c r="E41" s="578"/>
      <c r="F41" s="1018">
        <f>'656 INFORMATION TECHNOLOGY'!K27</f>
        <v>38201</v>
      </c>
      <c r="G41" s="1009"/>
      <c r="H41" s="1002"/>
      <c r="I41" s="1015"/>
    </row>
    <row r="42" spans="1:9" ht="12.6" customHeight="1" x14ac:dyDescent="0.2">
      <c r="A42" s="73">
        <v>657</v>
      </c>
      <c r="B42" s="78" t="s">
        <v>109</v>
      </c>
      <c r="C42" s="589"/>
      <c r="D42" s="599">
        <v>1400</v>
      </c>
      <c r="E42" s="578"/>
      <c r="F42" s="1018">
        <f>'657 POSTAGE'!K11</f>
        <v>1400</v>
      </c>
      <c r="G42" s="1009"/>
      <c r="H42" s="1002"/>
      <c r="I42" s="1015"/>
    </row>
    <row r="43" spans="1:9" ht="12.6" customHeight="1" x14ac:dyDescent="0.2">
      <c r="A43" s="73">
        <v>658</v>
      </c>
      <c r="B43" s="78" t="s">
        <v>210</v>
      </c>
      <c r="C43" s="589"/>
      <c r="D43" s="599">
        <v>42700</v>
      </c>
      <c r="E43" s="578"/>
      <c r="F43" s="1018">
        <f>'658 PROP &amp; LIABILITY'!K16</f>
        <v>42673.850000000006</v>
      </c>
      <c r="G43" s="1009"/>
      <c r="H43" s="1002"/>
      <c r="I43" s="1022"/>
    </row>
    <row r="44" spans="1:9" ht="12.6" customHeight="1" x14ac:dyDescent="0.2">
      <c r="A44" s="73">
        <v>659</v>
      </c>
      <c r="B44" s="78" t="s">
        <v>183</v>
      </c>
      <c r="C44" s="589"/>
      <c r="D44" s="599">
        <v>188500</v>
      </c>
      <c r="E44" s="578"/>
      <c r="F44" s="1018">
        <f>'659 PROFESSIONAL SVCS'!K14</f>
        <v>538500</v>
      </c>
      <c r="G44" s="1009"/>
      <c r="H44" s="1002"/>
      <c r="I44" s="1022"/>
    </row>
    <row r="45" spans="1:9" ht="12.6" customHeight="1" x14ac:dyDescent="0.2">
      <c r="A45" s="73">
        <v>660</v>
      </c>
      <c r="B45" s="78" t="s">
        <v>184</v>
      </c>
      <c r="C45" s="589"/>
      <c r="D45" s="599">
        <v>7800</v>
      </c>
      <c r="E45" s="578"/>
      <c r="F45" s="1018">
        <f>'660 PUBLIC NOTICES'!K13</f>
        <v>7845</v>
      </c>
      <c r="G45" s="1009"/>
      <c r="H45" s="1002"/>
      <c r="I45" s="1015"/>
    </row>
    <row r="46" spans="1:9" ht="12.6" customHeight="1" x14ac:dyDescent="0.2">
      <c r="A46" s="73">
        <v>661</v>
      </c>
      <c r="B46" s="78" t="s">
        <v>107</v>
      </c>
      <c r="C46" s="589"/>
      <c r="D46" s="599">
        <v>8920</v>
      </c>
      <c r="E46" s="578"/>
      <c r="F46" s="1018">
        <f>'661 TELEPHONE'!K12</f>
        <v>8920</v>
      </c>
      <c r="G46" s="1009"/>
      <c r="H46" s="1002"/>
      <c r="I46" s="1015"/>
    </row>
    <row r="47" spans="1:9" ht="12.6" customHeight="1" x14ac:dyDescent="0.2">
      <c r="A47" s="73">
        <v>662</v>
      </c>
      <c r="B47" s="78" t="s">
        <v>108</v>
      </c>
      <c r="C47" s="589"/>
      <c r="D47" s="599">
        <v>74640</v>
      </c>
      <c r="E47" s="578"/>
      <c r="F47" s="1018">
        <f>'662 UTILITIES'!K17</f>
        <v>74639.64</v>
      </c>
      <c r="G47" s="1009"/>
      <c r="H47" s="1002"/>
      <c r="I47" s="1022"/>
    </row>
    <row r="48" spans="1:9" ht="12.6" customHeight="1" x14ac:dyDescent="0.2">
      <c r="A48" s="73">
        <v>663</v>
      </c>
      <c r="B48" s="78" t="s">
        <v>118</v>
      </c>
      <c r="C48" s="589"/>
      <c r="D48" s="599">
        <v>348050</v>
      </c>
      <c r="E48" s="578"/>
      <c r="F48" s="1018">
        <f>'663 BOND DEBT SVC'!K15</f>
        <v>343900</v>
      </c>
      <c r="G48" s="1009"/>
      <c r="H48" s="1002"/>
      <c r="I48" s="1022"/>
    </row>
    <row r="49" spans="1:9" ht="12.6" customHeight="1" x14ac:dyDescent="0.2">
      <c r="A49" s="73">
        <v>664</v>
      </c>
      <c r="B49" s="78" t="s">
        <v>185</v>
      </c>
      <c r="C49" s="589"/>
      <c r="D49" s="599">
        <v>4000</v>
      </c>
      <c r="E49" s="578"/>
      <c r="F49" s="1013">
        <f>'664 TCESD COMPENSATION'!K11</f>
        <v>4000</v>
      </c>
      <c r="G49" s="1009"/>
      <c r="H49" s="1002"/>
      <c r="I49" s="1022"/>
    </row>
    <row r="50" spans="1:9" x14ac:dyDescent="0.2">
      <c r="A50" s="73">
        <v>665</v>
      </c>
      <c r="B50" s="78" t="s">
        <v>19</v>
      </c>
      <c r="C50" s="589"/>
      <c r="D50" s="599">
        <v>27500</v>
      </c>
      <c r="E50" s="578"/>
      <c r="F50" s="1018">
        <f>'665 GRANT MATCHING'!K13</f>
        <v>27500</v>
      </c>
      <c r="G50" s="1009"/>
      <c r="H50" s="1002"/>
      <c r="I50" s="1015"/>
    </row>
    <row r="51" spans="1:9" ht="12.6" customHeight="1" x14ac:dyDescent="0.2">
      <c r="A51" s="73">
        <v>671</v>
      </c>
      <c r="B51" s="78" t="s">
        <v>95</v>
      </c>
      <c r="C51" s="589"/>
      <c r="D51" s="599">
        <v>1100</v>
      </c>
      <c r="E51" s="578"/>
      <c r="F51" s="1018">
        <f>'671 PREVENTION'!K17</f>
        <v>1250</v>
      </c>
      <c r="G51" s="1009"/>
      <c r="H51" s="1002"/>
      <c r="I51" s="1015"/>
    </row>
    <row r="52" spans="1:9" ht="12.6" customHeight="1" x14ac:dyDescent="0.2">
      <c r="A52" s="73">
        <v>672</v>
      </c>
      <c r="B52" s="78" t="s">
        <v>197</v>
      </c>
      <c r="C52" s="589"/>
      <c r="D52" s="599">
        <v>22300</v>
      </c>
      <c r="E52" s="578"/>
      <c r="F52" s="1018">
        <f>'672 PUBLIC EDUCATION'!K16</f>
        <v>22450</v>
      </c>
      <c r="G52" s="1009"/>
      <c r="H52" s="1002"/>
      <c r="I52" s="1015"/>
    </row>
    <row r="53" spans="1:9" ht="17.25" customHeight="1" thickBot="1" x14ac:dyDescent="0.25">
      <c r="A53" s="176"/>
      <c r="B53" s="1026" t="s">
        <v>113</v>
      </c>
      <c r="C53" s="1034"/>
      <c r="D53" s="601">
        <f>SUM(D13:D52)-2</f>
        <v>7454574</v>
      </c>
      <c r="E53" s="534"/>
      <c r="F53" s="1025">
        <f>SUM(F13:F52)</f>
        <v>7902759.2373283729</v>
      </c>
      <c r="G53" s="1010"/>
      <c r="H53" s="1006"/>
      <c r="I53" s="1023"/>
    </row>
    <row r="54" spans="1:9" ht="13.5" hidden="1" thickTop="1" x14ac:dyDescent="0.2">
      <c r="B54" s="19" t="s">
        <v>218</v>
      </c>
      <c r="C54" s="592"/>
      <c r="D54" s="595"/>
      <c r="E54" s="578"/>
      <c r="F54" s="250"/>
      <c r="G54" s="900"/>
      <c r="H54" s="250"/>
    </row>
    <row r="55" spans="1:9" ht="8.25" customHeight="1" thickTop="1" x14ac:dyDescent="0.2">
      <c r="D55" s="596"/>
      <c r="E55" s="578"/>
      <c r="F55" s="250"/>
      <c r="G55" s="900"/>
      <c r="H55" s="250"/>
    </row>
    <row r="56" spans="1:9" ht="15" x14ac:dyDescent="0.35">
      <c r="B56" t="s">
        <v>613</v>
      </c>
      <c r="D56" s="579">
        <f t="shared" ref="D56" si="0">D11-D53</f>
        <v>369366</v>
      </c>
      <c r="E56" s="579"/>
      <c r="F56" s="579">
        <f>F11-F53</f>
        <v>0.27307162806391716</v>
      </c>
      <c r="G56" s="900"/>
      <c r="H56" s="250"/>
    </row>
    <row r="57" spans="1:9" x14ac:dyDescent="0.2">
      <c r="E57" s="578"/>
      <c r="F57" s="250"/>
    </row>
    <row r="58" spans="1:9" x14ac:dyDescent="0.2">
      <c r="E58" s="578"/>
      <c r="F58" s="250"/>
    </row>
    <row r="59" spans="1:9" x14ac:dyDescent="0.2">
      <c r="E59" s="250"/>
      <c r="F59" s="250"/>
    </row>
    <row r="60" spans="1:9" x14ac:dyDescent="0.2">
      <c r="E60" s="250"/>
      <c r="F60" s="250"/>
    </row>
  </sheetData>
  <phoneticPr fontId="20" type="noConversion"/>
  <printOptions horizontalCentered="1"/>
  <pageMargins left="0.5" right="0.25" top="0.5" bottom="0.25" header="0" footer="0"/>
  <pageSetup scale="81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4.85546875" style="95" bestFit="1" customWidth="1"/>
    <col min="2" max="4" width="11.7109375" style="25" hidden="1" customWidth="1"/>
    <col min="5" max="5" width="11.42578125" style="25" hidden="1" customWidth="1"/>
    <col min="6" max="6" width="11.85546875" style="25" hidden="1" customWidth="1"/>
    <col min="7" max="8" width="12" style="25" hidden="1" customWidth="1"/>
    <col min="9" max="16384" width="9.140625" style="25"/>
  </cols>
  <sheetData>
    <row r="1" spans="1:11" s="44" customFormat="1" ht="18.75" customHeight="1" x14ac:dyDescent="0.3">
      <c r="A1" s="551" t="s">
        <v>186</v>
      </c>
      <c r="B1" s="187"/>
      <c r="C1" s="187"/>
      <c r="D1" s="187"/>
      <c r="E1" s="200"/>
      <c r="F1" s="200"/>
      <c r="G1" s="200"/>
      <c r="H1" s="200"/>
      <c r="I1" s="200"/>
      <c r="J1" s="200"/>
      <c r="K1" s="200"/>
    </row>
    <row r="2" spans="1:11" ht="18.75" customHeight="1" x14ac:dyDescent="0.3">
      <c r="A2" s="124"/>
      <c r="B2" s="96"/>
      <c r="C2" s="96"/>
      <c r="D2" s="96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5" t="s">
        <v>115</v>
      </c>
      <c r="B3" s="39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129"/>
      <c r="B4" s="99"/>
      <c r="C4" s="112"/>
      <c r="D4" s="112"/>
      <c r="E4" s="112"/>
      <c r="F4" s="695"/>
      <c r="G4" s="695"/>
      <c r="H4" s="695"/>
      <c r="I4" s="695"/>
      <c r="J4" s="695"/>
      <c r="K4" s="695"/>
    </row>
    <row r="5" spans="1:11" s="44" customFormat="1" ht="17.100000000000001" customHeight="1" x14ac:dyDescent="0.3">
      <c r="A5" s="37" t="s">
        <v>658</v>
      </c>
      <c r="B5" s="40">
        <v>500</v>
      </c>
      <c r="C5" s="51">
        <v>500</v>
      </c>
      <c r="D5" s="51">
        <v>500</v>
      </c>
      <c r="E5" s="51">
        <v>500</v>
      </c>
      <c r="F5" s="696">
        <v>300</v>
      </c>
      <c r="G5" s="696">
        <v>300</v>
      </c>
      <c r="H5" s="696">
        <f>4*300</f>
        <v>1200</v>
      </c>
      <c r="I5" s="696">
        <f>4*300</f>
        <v>1200</v>
      </c>
      <c r="J5" s="696">
        <f>4*300</f>
        <v>1200</v>
      </c>
      <c r="K5" s="696">
        <f>4*300</f>
        <v>1200</v>
      </c>
    </row>
    <row r="6" spans="1:11" s="44" customFormat="1" ht="17.100000000000001" hidden="1" customHeight="1" x14ac:dyDescent="0.3">
      <c r="A6" s="37" t="s">
        <v>135</v>
      </c>
      <c r="B6" s="40">
        <v>500</v>
      </c>
      <c r="C6" s="51">
        <v>500</v>
      </c>
      <c r="D6" s="51">
        <v>500</v>
      </c>
      <c r="E6" s="51">
        <v>500</v>
      </c>
      <c r="F6" s="696">
        <v>300</v>
      </c>
      <c r="G6" s="696">
        <v>300</v>
      </c>
      <c r="H6" s="696"/>
      <c r="I6" s="696"/>
      <c r="J6" s="696"/>
      <c r="K6" s="696"/>
    </row>
    <row r="7" spans="1:11" ht="17.100000000000001" hidden="1" customHeight="1" x14ac:dyDescent="0.3">
      <c r="A7" s="37" t="s">
        <v>135</v>
      </c>
      <c r="B7" s="40">
        <v>500</v>
      </c>
      <c r="C7" s="51">
        <v>500</v>
      </c>
      <c r="D7" s="51">
        <v>500</v>
      </c>
      <c r="E7" s="51">
        <v>500</v>
      </c>
      <c r="F7" s="696">
        <v>300</v>
      </c>
      <c r="G7" s="696">
        <v>300</v>
      </c>
      <c r="H7" s="696"/>
      <c r="I7" s="696"/>
      <c r="J7" s="696"/>
      <c r="K7" s="696"/>
    </row>
    <row r="8" spans="1:11" ht="17.100000000000001" hidden="1" customHeight="1" x14ac:dyDescent="0.3">
      <c r="A8" s="37" t="s">
        <v>135</v>
      </c>
      <c r="B8" s="40">
        <v>500</v>
      </c>
      <c r="C8" s="51">
        <v>500</v>
      </c>
      <c r="D8" s="51">
        <v>500</v>
      </c>
      <c r="E8" s="51">
        <v>500</v>
      </c>
      <c r="F8" s="696">
        <v>300</v>
      </c>
      <c r="G8" s="696">
        <v>300</v>
      </c>
      <c r="H8" s="696"/>
      <c r="I8" s="696"/>
      <c r="J8" s="696"/>
      <c r="K8" s="696"/>
    </row>
    <row r="9" spans="1:11" ht="17.100000000000001" customHeight="1" x14ac:dyDescent="0.3">
      <c r="A9" s="37" t="s">
        <v>136</v>
      </c>
      <c r="B9" s="40">
        <v>1500</v>
      </c>
      <c r="C9" s="51">
        <v>1500</v>
      </c>
      <c r="D9" s="51">
        <v>2000</v>
      </c>
      <c r="E9" s="51"/>
      <c r="F9" s="696">
        <v>500</v>
      </c>
      <c r="G9" s="696">
        <v>500</v>
      </c>
      <c r="H9" s="696">
        <v>500</v>
      </c>
      <c r="I9" s="696">
        <v>300</v>
      </c>
      <c r="J9" s="696">
        <v>300</v>
      </c>
      <c r="K9" s="696">
        <v>500</v>
      </c>
    </row>
    <row r="10" spans="1:11" ht="17.100000000000001" customHeight="1" x14ac:dyDescent="0.3">
      <c r="A10" s="37" t="s">
        <v>137</v>
      </c>
      <c r="B10" s="40">
        <v>1900</v>
      </c>
      <c r="C10" s="51">
        <v>4000</v>
      </c>
      <c r="D10" s="51">
        <v>5000</v>
      </c>
      <c r="E10" s="51">
        <v>5000</v>
      </c>
      <c r="F10" s="696">
        <v>5000</v>
      </c>
      <c r="G10" s="696">
        <v>5000</v>
      </c>
      <c r="H10" s="696">
        <v>5000</v>
      </c>
      <c r="I10" s="696">
        <v>5000</v>
      </c>
      <c r="J10" s="696">
        <v>5000</v>
      </c>
      <c r="K10" s="696">
        <v>5000</v>
      </c>
    </row>
    <row r="11" spans="1:11" ht="17.100000000000001" customHeight="1" x14ac:dyDescent="0.3">
      <c r="A11" s="37" t="s">
        <v>659</v>
      </c>
      <c r="B11" s="60">
        <v>1080</v>
      </c>
      <c r="C11" s="51">
        <v>1500</v>
      </c>
      <c r="D11" s="51">
        <v>1500</v>
      </c>
      <c r="E11" s="51">
        <v>1500</v>
      </c>
      <c r="F11" s="696">
        <f>30*35</f>
        <v>1050</v>
      </c>
      <c r="G11" s="696">
        <f>30*35</f>
        <v>1050</v>
      </c>
      <c r="H11" s="696">
        <f>30*35</f>
        <v>1050</v>
      </c>
      <c r="I11" s="696">
        <f>32*44</f>
        <v>1408</v>
      </c>
      <c r="J11" s="696">
        <f>32*44</f>
        <v>1408</v>
      </c>
      <c r="K11" s="696">
        <f>32*44</f>
        <v>1408</v>
      </c>
    </row>
    <row r="12" spans="1:11" ht="17.100000000000001" customHeight="1" x14ac:dyDescent="0.3">
      <c r="A12" s="36" t="s">
        <v>660</v>
      </c>
      <c r="B12" s="60"/>
      <c r="C12" s="59">
        <v>1300</v>
      </c>
      <c r="D12" s="59">
        <v>1000</v>
      </c>
      <c r="E12" s="59">
        <v>1000</v>
      </c>
      <c r="F12" s="697">
        <f>35*29</f>
        <v>1015</v>
      </c>
      <c r="G12" s="697">
        <f>43*29</f>
        <v>1247</v>
      </c>
      <c r="H12" s="697">
        <f>43*29</f>
        <v>1247</v>
      </c>
      <c r="I12" s="697">
        <f>35*30</f>
        <v>1050</v>
      </c>
      <c r="J12" s="697">
        <f>35*30</f>
        <v>1050</v>
      </c>
      <c r="K12" s="697">
        <f>35*30</f>
        <v>1050</v>
      </c>
    </row>
    <row r="13" spans="1:11" ht="17.100000000000001" customHeight="1" x14ac:dyDescent="0.3">
      <c r="A13" s="37" t="s">
        <v>661</v>
      </c>
      <c r="B13" s="60">
        <v>1000</v>
      </c>
      <c r="C13" s="51">
        <v>750</v>
      </c>
      <c r="D13" s="51">
        <v>1000</v>
      </c>
      <c r="E13" s="51"/>
      <c r="F13" s="696">
        <f>4*255</f>
        <v>1020</v>
      </c>
      <c r="G13" s="696">
        <f>4*255</f>
        <v>1020</v>
      </c>
      <c r="H13" s="696">
        <f>4*255</f>
        <v>1020</v>
      </c>
      <c r="I13" s="696">
        <f>4*275</f>
        <v>1100</v>
      </c>
      <c r="J13" s="696">
        <f>4*275</f>
        <v>1100</v>
      </c>
      <c r="K13" s="696">
        <f>4*275</f>
        <v>1100</v>
      </c>
    </row>
    <row r="14" spans="1:11" ht="17.100000000000001" customHeight="1" x14ac:dyDescent="0.3">
      <c r="A14" s="37" t="s">
        <v>102</v>
      </c>
      <c r="B14" s="60">
        <v>100</v>
      </c>
      <c r="C14" s="51">
        <v>100</v>
      </c>
      <c r="D14" s="51">
        <v>100</v>
      </c>
      <c r="E14" s="51">
        <v>100</v>
      </c>
      <c r="F14" s="696">
        <v>100</v>
      </c>
      <c r="G14" s="696">
        <v>100</v>
      </c>
      <c r="H14" s="696">
        <v>100</v>
      </c>
      <c r="I14" s="696">
        <v>100</v>
      </c>
      <c r="J14" s="696">
        <v>100</v>
      </c>
      <c r="K14" s="696">
        <v>100</v>
      </c>
    </row>
    <row r="15" spans="1:11" ht="17.100000000000001" hidden="1" customHeight="1" x14ac:dyDescent="0.3">
      <c r="A15" s="36" t="s">
        <v>418</v>
      </c>
      <c r="B15" s="60">
        <v>300</v>
      </c>
      <c r="C15" s="59">
        <v>750</v>
      </c>
      <c r="D15" s="59"/>
      <c r="E15" s="59"/>
      <c r="F15" s="697">
        <v>0</v>
      </c>
      <c r="G15" s="697">
        <v>0</v>
      </c>
      <c r="H15" s="697"/>
      <c r="I15" s="697"/>
      <c r="J15" s="697"/>
      <c r="K15" s="697"/>
    </row>
    <row r="16" spans="1:11" ht="17.100000000000001" customHeight="1" x14ac:dyDescent="0.3">
      <c r="A16" s="36" t="s">
        <v>662</v>
      </c>
      <c r="B16" s="60">
        <v>2312</v>
      </c>
      <c r="C16" s="59"/>
      <c r="D16" s="59">
        <v>1000</v>
      </c>
      <c r="E16" s="59">
        <v>1000</v>
      </c>
      <c r="F16" s="697">
        <v>0</v>
      </c>
      <c r="G16" s="697">
        <v>0</v>
      </c>
      <c r="H16" s="697">
        <f>25*35</f>
        <v>875</v>
      </c>
      <c r="I16" s="697">
        <f>25*35</f>
        <v>875</v>
      </c>
      <c r="J16" s="697">
        <f>25*35</f>
        <v>875</v>
      </c>
      <c r="K16" s="697">
        <f>25*35</f>
        <v>875</v>
      </c>
    </row>
    <row r="17" spans="1:11" ht="17.100000000000001" hidden="1" customHeight="1" x14ac:dyDescent="0.3">
      <c r="A17" s="36" t="s">
        <v>419</v>
      </c>
      <c r="B17" s="60"/>
      <c r="C17" s="59"/>
      <c r="D17" s="59">
        <v>6800</v>
      </c>
      <c r="E17" s="59"/>
      <c r="F17" s="697">
        <v>2500</v>
      </c>
      <c r="G17" s="697">
        <v>0</v>
      </c>
      <c r="H17" s="697"/>
      <c r="I17" s="697"/>
      <c r="J17" s="697"/>
      <c r="K17" s="697"/>
    </row>
    <row r="18" spans="1:11" ht="17.100000000000001" customHeight="1" x14ac:dyDescent="0.3">
      <c r="A18" s="36" t="s">
        <v>674</v>
      </c>
      <c r="B18" s="105"/>
      <c r="C18" s="104"/>
      <c r="D18" s="104">
        <v>18000</v>
      </c>
      <c r="E18" s="104"/>
      <c r="F18" s="698">
        <f>25*1055</f>
        <v>26375</v>
      </c>
      <c r="G18" s="698">
        <v>1000</v>
      </c>
      <c r="H18" s="698">
        <f>12*1000</f>
        <v>12000</v>
      </c>
      <c r="I18" s="698">
        <f>25*1000</f>
        <v>25000</v>
      </c>
      <c r="J18" s="698">
        <v>0</v>
      </c>
      <c r="K18" s="698">
        <v>0</v>
      </c>
    </row>
    <row r="19" spans="1:11" ht="17.100000000000001" hidden="1" customHeight="1" x14ac:dyDescent="0.3">
      <c r="A19" s="130" t="s">
        <v>463</v>
      </c>
      <c r="B19" s="105"/>
      <c r="C19" s="104"/>
      <c r="D19" s="104"/>
      <c r="E19" s="104">
        <v>62650.8</v>
      </c>
      <c r="F19" s="698">
        <f>10*5245</f>
        <v>52450</v>
      </c>
      <c r="G19" s="699">
        <f>10*5606</f>
        <v>56060</v>
      </c>
      <c r="H19" s="699"/>
      <c r="I19" s="699"/>
      <c r="J19" s="699"/>
      <c r="K19" s="699"/>
    </row>
    <row r="20" spans="1:11" ht="17.100000000000001" hidden="1" customHeight="1" x14ac:dyDescent="0.3">
      <c r="A20" s="130" t="s">
        <v>464</v>
      </c>
      <c r="B20" s="105"/>
      <c r="C20" s="104"/>
      <c r="D20" s="104"/>
      <c r="E20" s="104">
        <v>20979</v>
      </c>
      <c r="F20" s="698">
        <v>10500</v>
      </c>
      <c r="G20" s="698">
        <v>0</v>
      </c>
      <c r="H20" s="698"/>
      <c r="I20" s="698"/>
      <c r="J20" s="698"/>
      <c r="K20" s="698"/>
    </row>
    <row r="21" spans="1:11" ht="17.100000000000001" hidden="1" customHeight="1" x14ac:dyDescent="0.3">
      <c r="A21" s="130" t="s">
        <v>570</v>
      </c>
      <c r="B21" s="105"/>
      <c r="C21" s="104"/>
      <c r="D21" s="104"/>
      <c r="E21" s="104"/>
      <c r="F21" s="698">
        <v>0</v>
      </c>
      <c r="G21" s="699">
        <v>3000</v>
      </c>
      <c r="H21" s="699">
        <f>1500*2</f>
        <v>3000</v>
      </c>
      <c r="I21" s="699">
        <v>0</v>
      </c>
      <c r="J21" s="699">
        <v>0</v>
      </c>
      <c r="K21" s="699">
        <v>0</v>
      </c>
    </row>
    <row r="22" spans="1:11" ht="17.100000000000001" customHeight="1" x14ac:dyDescent="0.3">
      <c r="A22" s="130" t="s">
        <v>598</v>
      </c>
      <c r="B22" s="105"/>
      <c r="C22" s="104"/>
      <c r="D22" s="104"/>
      <c r="E22" s="104"/>
      <c r="F22" s="698">
        <v>0</v>
      </c>
      <c r="G22" s="699">
        <v>0</v>
      </c>
      <c r="H22" s="699">
        <f>7000+2000</f>
        <v>9000</v>
      </c>
      <c r="I22" s="699">
        <v>0</v>
      </c>
      <c r="J22" s="699">
        <v>11000</v>
      </c>
      <c r="K22" s="699">
        <v>0</v>
      </c>
    </row>
    <row r="23" spans="1:11" ht="17.100000000000001" customHeight="1" x14ac:dyDescent="0.3">
      <c r="A23" s="130" t="s">
        <v>767</v>
      </c>
      <c r="B23" s="105"/>
      <c r="C23" s="104"/>
      <c r="D23" s="104"/>
      <c r="E23" s="104"/>
      <c r="F23" s="698"/>
      <c r="G23" s="699"/>
      <c r="H23" s="699"/>
      <c r="I23" s="699">
        <v>0</v>
      </c>
      <c r="J23" s="699">
        <f>140*6</f>
        <v>840</v>
      </c>
      <c r="K23" s="699">
        <v>0</v>
      </c>
    </row>
    <row r="24" spans="1:11" ht="17.100000000000001" customHeight="1" thickBot="1" x14ac:dyDescent="0.35">
      <c r="A24" s="501"/>
      <c r="B24" s="60">
        <v>-200</v>
      </c>
      <c r="C24" s="59"/>
      <c r="D24" s="59"/>
      <c r="E24" s="59"/>
      <c r="F24" s="697"/>
      <c r="G24" s="700"/>
      <c r="H24" s="700"/>
      <c r="I24" s="700"/>
      <c r="J24" s="700"/>
      <c r="K24" s="700"/>
    </row>
    <row r="25" spans="1:11" ht="18.75" customHeight="1" thickTop="1" x14ac:dyDescent="0.3">
      <c r="A25" s="86" t="s">
        <v>113</v>
      </c>
      <c r="B25" s="42">
        <f>SUM(B4:B21)</f>
        <v>10192</v>
      </c>
      <c r="C25" s="131">
        <f>SUM(C4:C21)</f>
        <v>11900</v>
      </c>
      <c r="D25" s="131">
        <f>SUM(D4:D21)</f>
        <v>38400</v>
      </c>
      <c r="E25" s="131">
        <f t="shared" ref="E25:J25" si="0">SUM(E5:E24)</f>
        <v>94229.8</v>
      </c>
      <c r="F25" s="693">
        <f t="shared" si="0"/>
        <v>101710</v>
      </c>
      <c r="G25" s="694">
        <f t="shared" si="0"/>
        <v>70177</v>
      </c>
      <c r="H25" s="694">
        <f t="shared" si="0"/>
        <v>34992</v>
      </c>
      <c r="I25" s="694">
        <f t="shared" si="0"/>
        <v>36033</v>
      </c>
      <c r="J25" s="694">
        <f t="shared" si="0"/>
        <v>22873</v>
      </c>
      <c r="K25" s="694">
        <f t="shared" ref="K25" si="1">SUM(K5:K24)</f>
        <v>11233</v>
      </c>
    </row>
    <row r="26" spans="1:11" ht="18.75" customHeight="1" x14ac:dyDescent="0.3">
      <c r="A26" s="16"/>
    </row>
    <row r="27" spans="1:11" ht="18.75" customHeight="1" x14ac:dyDescent="0.3">
      <c r="A27" s="16"/>
    </row>
    <row r="28" spans="1:11" ht="18.75" customHeight="1" x14ac:dyDescent="0.3">
      <c r="A28" s="16"/>
    </row>
    <row r="29" spans="1:11" ht="18.75" customHeight="1" x14ac:dyDescent="0.3">
      <c r="A29" s="16"/>
    </row>
    <row r="30" spans="1:11" ht="18.75" customHeight="1" x14ac:dyDescent="0.3">
      <c r="A30" s="16"/>
    </row>
    <row r="31" spans="1:11" ht="18.75" customHeight="1" x14ac:dyDescent="0.3">
      <c r="A31" s="16"/>
    </row>
    <row r="32" spans="1:11" ht="18.75" customHeight="1" x14ac:dyDescent="0.3">
      <c r="A32" s="16"/>
    </row>
    <row r="33" spans="1:1" ht="18.75" customHeight="1" x14ac:dyDescent="0.3">
      <c r="A33" s="16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ColWidth="9.140625" defaultRowHeight="16.5" x14ac:dyDescent="0.3"/>
  <cols>
    <col min="1" max="1" width="34.5703125" style="109" bestFit="1" customWidth="1"/>
    <col min="2" max="4" width="11.7109375" style="109" hidden="1" customWidth="1"/>
    <col min="5" max="8" width="12.5703125" style="109" hidden="1" customWidth="1"/>
    <col min="9" max="9" width="9.140625" style="109"/>
    <col min="10" max="11" width="9.5703125" style="109" bestFit="1" customWidth="1"/>
    <col min="12" max="16384" width="9.140625" style="109"/>
  </cols>
  <sheetData>
    <row r="1" spans="1:11" x14ac:dyDescent="0.3">
      <c r="A1" s="551" t="s">
        <v>471</v>
      </c>
      <c r="B1" s="200"/>
      <c r="C1" s="200"/>
      <c r="D1" s="200"/>
      <c r="E1" s="203"/>
      <c r="F1" s="203"/>
      <c r="G1" s="203"/>
      <c r="H1" s="203"/>
      <c r="I1" s="203"/>
      <c r="J1" s="203"/>
      <c r="K1" s="203"/>
    </row>
    <row r="2" spans="1:11" x14ac:dyDescent="0.3">
      <c r="A2" s="124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x14ac:dyDescent="0.3">
      <c r="A3" s="35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x14ac:dyDescent="0.3">
      <c r="A4" s="52"/>
      <c r="B4" s="47"/>
      <c r="C4" s="52"/>
      <c r="D4" s="52"/>
      <c r="E4" s="52"/>
      <c r="F4" s="633"/>
      <c r="G4" s="633"/>
      <c r="H4" s="633"/>
      <c r="I4" s="633"/>
      <c r="J4" s="633"/>
      <c r="K4" s="633"/>
    </row>
    <row r="5" spans="1:11" x14ac:dyDescent="0.3">
      <c r="A5" s="37" t="s">
        <v>104</v>
      </c>
      <c r="B5" s="47">
        <v>1800</v>
      </c>
      <c r="C5" s="34">
        <v>2100</v>
      </c>
      <c r="D5" s="34">
        <v>2100</v>
      </c>
      <c r="E5" s="34">
        <v>2100</v>
      </c>
      <c r="F5" s="701">
        <v>2200</v>
      </c>
      <c r="G5" s="701">
        <v>2400</v>
      </c>
      <c r="H5" s="701">
        <v>2400</v>
      </c>
      <c r="I5" s="701">
        <v>2400</v>
      </c>
      <c r="J5" s="701">
        <v>2400</v>
      </c>
      <c r="K5" s="701">
        <v>2400</v>
      </c>
    </row>
    <row r="6" spans="1:11" x14ac:dyDescent="0.3">
      <c r="A6" s="37" t="s">
        <v>261</v>
      </c>
      <c r="B6" s="47">
        <v>16000</v>
      </c>
      <c r="C6" s="47">
        <v>17000</v>
      </c>
      <c r="D6" s="47">
        <v>30000</v>
      </c>
      <c r="E6" s="47">
        <v>30000</v>
      </c>
      <c r="F6" s="696">
        <v>30000</v>
      </c>
      <c r="G6" s="696">
        <v>31000</v>
      </c>
      <c r="H6" s="696">
        <v>31000</v>
      </c>
      <c r="I6" s="696">
        <v>30000</v>
      </c>
      <c r="J6" s="696">
        <v>30000</v>
      </c>
      <c r="K6" s="696">
        <v>30000</v>
      </c>
    </row>
    <row r="7" spans="1:11" x14ac:dyDescent="0.3">
      <c r="A7" s="37" t="s">
        <v>103</v>
      </c>
      <c r="B7" s="47">
        <v>1000</v>
      </c>
      <c r="C7" s="34">
        <v>1200</v>
      </c>
      <c r="D7" s="34">
        <v>1350</v>
      </c>
      <c r="E7" s="34">
        <v>1350</v>
      </c>
      <c r="F7" s="701">
        <v>1500</v>
      </c>
      <c r="G7" s="701">
        <v>1600</v>
      </c>
      <c r="H7" s="701">
        <v>1600</v>
      </c>
      <c r="I7" s="701">
        <v>1800</v>
      </c>
      <c r="J7" s="701">
        <v>1800</v>
      </c>
      <c r="K7" s="701">
        <v>1800</v>
      </c>
    </row>
    <row r="8" spans="1:11" x14ac:dyDescent="0.3">
      <c r="A8" s="37" t="s">
        <v>174</v>
      </c>
      <c r="B8" s="47">
        <v>1000</v>
      </c>
      <c r="C8" s="47">
        <v>500</v>
      </c>
      <c r="D8" s="47">
        <v>600</v>
      </c>
      <c r="E8" s="47">
        <v>800</v>
      </c>
      <c r="F8" s="696">
        <v>800</v>
      </c>
      <c r="G8" s="696">
        <v>1200</v>
      </c>
      <c r="H8" s="696">
        <v>1200</v>
      </c>
      <c r="I8" s="696">
        <v>1200</v>
      </c>
      <c r="J8" s="696">
        <v>1200</v>
      </c>
      <c r="K8" s="696">
        <v>1200</v>
      </c>
    </row>
    <row r="9" spans="1:11" x14ac:dyDescent="0.3">
      <c r="A9" s="37" t="s">
        <v>260</v>
      </c>
      <c r="B9" s="47">
        <v>19000</v>
      </c>
      <c r="C9" s="47">
        <v>20000</v>
      </c>
      <c r="D9" s="47">
        <v>25000</v>
      </c>
      <c r="E9" s="47">
        <v>25000</v>
      </c>
      <c r="F9" s="696">
        <v>25000</v>
      </c>
      <c r="G9" s="696">
        <v>27500</v>
      </c>
      <c r="H9" s="696">
        <v>27500</v>
      </c>
      <c r="I9" s="696">
        <v>28000</v>
      </c>
      <c r="J9" s="696">
        <v>28000</v>
      </c>
      <c r="K9" s="696">
        <v>28000</v>
      </c>
    </row>
    <row r="10" spans="1:11" x14ac:dyDescent="0.3">
      <c r="A10" s="37" t="s">
        <v>123</v>
      </c>
      <c r="B10" s="47">
        <v>3500</v>
      </c>
      <c r="C10" s="47">
        <v>2000</v>
      </c>
      <c r="D10" s="47">
        <v>3000</v>
      </c>
      <c r="E10" s="47">
        <v>3000</v>
      </c>
      <c r="F10" s="696">
        <v>3500</v>
      </c>
      <c r="G10" s="696">
        <v>3500</v>
      </c>
      <c r="H10" s="696">
        <v>3500</v>
      </c>
      <c r="I10" s="696">
        <v>3500</v>
      </c>
      <c r="J10" s="696">
        <v>3500</v>
      </c>
      <c r="K10" s="696">
        <v>3500</v>
      </c>
    </row>
    <row r="11" spans="1:11" x14ac:dyDescent="0.3">
      <c r="A11" s="37" t="s">
        <v>86</v>
      </c>
      <c r="B11" s="34">
        <v>1000</v>
      </c>
      <c r="C11" s="34">
        <v>1200</v>
      </c>
      <c r="D11" s="34">
        <v>1700</v>
      </c>
      <c r="E11" s="34">
        <v>1700</v>
      </c>
      <c r="F11" s="701">
        <v>2500</v>
      </c>
      <c r="G11" s="701">
        <v>2500</v>
      </c>
      <c r="H11" s="701">
        <v>4000</v>
      </c>
      <c r="I11" s="701">
        <v>5000</v>
      </c>
      <c r="J11" s="701">
        <v>5000</v>
      </c>
      <c r="K11" s="701">
        <v>5500</v>
      </c>
    </row>
    <row r="12" spans="1:11" x14ac:dyDescent="0.3">
      <c r="A12" s="37" t="s">
        <v>465</v>
      </c>
      <c r="B12" s="34">
        <v>2500</v>
      </c>
      <c r="C12" s="47">
        <v>2000</v>
      </c>
      <c r="D12" s="47">
        <v>2000</v>
      </c>
      <c r="E12" s="47">
        <v>2000</v>
      </c>
      <c r="F12" s="696">
        <v>2000</v>
      </c>
      <c r="G12" s="696">
        <v>2500</v>
      </c>
      <c r="H12" s="696">
        <v>2500</v>
      </c>
      <c r="I12" s="696">
        <v>2500</v>
      </c>
      <c r="J12" s="696">
        <v>2500</v>
      </c>
      <c r="K12" s="696">
        <v>3000</v>
      </c>
    </row>
    <row r="13" spans="1:11" x14ac:dyDescent="0.3">
      <c r="A13" s="37" t="s">
        <v>173</v>
      </c>
      <c r="B13" s="47">
        <v>9000</v>
      </c>
      <c r="C13" s="47">
        <v>12000</v>
      </c>
      <c r="D13" s="47">
        <v>15000</v>
      </c>
      <c r="E13" s="47">
        <v>16000</v>
      </c>
      <c r="F13" s="696">
        <v>12000</v>
      </c>
      <c r="G13" s="696">
        <v>13000</v>
      </c>
      <c r="H13" s="696">
        <v>13000</v>
      </c>
      <c r="I13" s="696">
        <v>14000</v>
      </c>
      <c r="J13" s="696">
        <f>14000+(14*500)</f>
        <v>21000</v>
      </c>
      <c r="K13" s="696">
        <v>22000</v>
      </c>
    </row>
    <row r="14" spans="1:11" x14ac:dyDescent="0.3">
      <c r="A14" s="37" t="s">
        <v>172</v>
      </c>
      <c r="B14" s="34">
        <v>3000</v>
      </c>
      <c r="C14" s="47">
        <v>2500</v>
      </c>
      <c r="D14" s="47">
        <v>3000</v>
      </c>
      <c r="E14" s="47">
        <v>3000</v>
      </c>
      <c r="F14" s="696">
        <v>3000</v>
      </c>
      <c r="G14" s="696">
        <v>3000</v>
      </c>
      <c r="H14" s="696">
        <v>3000</v>
      </c>
      <c r="I14" s="696">
        <v>3000</v>
      </c>
      <c r="J14" s="696">
        <v>3000</v>
      </c>
      <c r="K14" s="696">
        <v>3000</v>
      </c>
    </row>
    <row r="15" spans="1:11" x14ac:dyDescent="0.3">
      <c r="A15" s="37" t="s">
        <v>523</v>
      </c>
      <c r="B15" s="34">
        <v>350</v>
      </c>
      <c r="C15" s="47">
        <v>250</v>
      </c>
      <c r="D15" s="47">
        <v>300</v>
      </c>
      <c r="E15" s="47">
        <v>300</v>
      </c>
      <c r="F15" s="696">
        <v>400</v>
      </c>
      <c r="G15" s="696">
        <v>400</v>
      </c>
      <c r="H15" s="696">
        <v>400</v>
      </c>
      <c r="I15" s="696">
        <v>400</v>
      </c>
      <c r="J15" s="696">
        <v>400</v>
      </c>
      <c r="K15" s="696">
        <v>400</v>
      </c>
    </row>
    <row r="16" spans="1:11" hidden="1" x14ac:dyDescent="0.3">
      <c r="A16" s="452" t="s">
        <v>524</v>
      </c>
      <c r="B16" s="105"/>
      <c r="C16" s="439"/>
      <c r="D16" s="439"/>
      <c r="E16" s="439">
        <v>3000</v>
      </c>
      <c r="F16" s="702">
        <v>4800</v>
      </c>
      <c r="G16" s="702">
        <v>0</v>
      </c>
      <c r="H16" s="702">
        <v>0</v>
      </c>
      <c r="I16" s="702">
        <v>0</v>
      </c>
      <c r="J16" s="702">
        <v>0</v>
      </c>
      <c r="K16" s="702">
        <v>0</v>
      </c>
    </row>
    <row r="17" spans="1:11" hidden="1" x14ac:dyDescent="0.3">
      <c r="A17" s="452" t="s">
        <v>466</v>
      </c>
      <c r="B17" s="105"/>
      <c r="C17" s="439"/>
      <c r="D17" s="439"/>
      <c r="E17" s="439">
        <v>2500</v>
      </c>
      <c r="F17" s="702">
        <v>0</v>
      </c>
      <c r="G17" s="702">
        <v>0</v>
      </c>
      <c r="H17" s="702">
        <v>0</v>
      </c>
      <c r="I17" s="702">
        <v>0</v>
      </c>
      <c r="J17" s="702">
        <v>0</v>
      </c>
      <c r="K17" s="702">
        <v>0</v>
      </c>
    </row>
    <row r="18" spans="1:11" hidden="1" x14ac:dyDescent="0.3">
      <c r="A18" s="61" t="s">
        <v>467</v>
      </c>
      <c r="B18" s="105"/>
      <c r="C18" s="439"/>
      <c r="D18" s="439"/>
      <c r="E18" s="439">
        <v>2000</v>
      </c>
      <c r="F18" s="702">
        <v>0</v>
      </c>
      <c r="G18" s="702">
        <v>0</v>
      </c>
      <c r="H18" s="702">
        <v>0</v>
      </c>
      <c r="I18" s="702">
        <v>0</v>
      </c>
      <c r="J18" s="702">
        <v>0</v>
      </c>
      <c r="K18" s="702">
        <v>0</v>
      </c>
    </row>
    <row r="19" spans="1:11" x14ac:dyDescent="0.3">
      <c r="A19" s="61" t="s">
        <v>519</v>
      </c>
      <c r="B19" s="105"/>
      <c r="C19" s="439">
        <v>3000</v>
      </c>
      <c r="D19" s="439">
        <v>3000</v>
      </c>
      <c r="E19" s="439">
        <v>3830</v>
      </c>
      <c r="F19" s="702">
        <v>4400</v>
      </c>
      <c r="G19" s="702">
        <v>4800</v>
      </c>
      <c r="H19" s="702">
        <v>5000</v>
      </c>
      <c r="I19" s="702">
        <v>5000</v>
      </c>
      <c r="J19" s="702">
        <v>5000</v>
      </c>
      <c r="K19" s="702">
        <v>5000</v>
      </c>
    </row>
    <row r="20" spans="1:11" x14ac:dyDescent="0.3">
      <c r="A20" s="61" t="s">
        <v>837</v>
      </c>
      <c r="B20" s="105"/>
      <c r="C20" s="439"/>
      <c r="D20" s="439"/>
      <c r="E20" s="439"/>
      <c r="F20" s="702"/>
      <c r="G20" s="702"/>
      <c r="H20" s="702"/>
      <c r="I20" s="702">
        <v>0</v>
      </c>
      <c r="J20" s="702">
        <v>0</v>
      </c>
      <c r="K20" s="702">
        <v>2250</v>
      </c>
    </row>
    <row r="21" spans="1:11" x14ac:dyDescent="0.3">
      <c r="A21" s="61" t="s">
        <v>572</v>
      </c>
      <c r="B21" s="105"/>
      <c r="C21" s="439"/>
      <c r="D21" s="439"/>
      <c r="E21" s="439"/>
      <c r="F21" s="702">
        <v>0</v>
      </c>
      <c r="G21" s="703">
        <v>2000</v>
      </c>
      <c r="H21" s="703">
        <v>2000</v>
      </c>
      <c r="I21" s="703">
        <v>2000</v>
      </c>
      <c r="J21" s="703">
        <v>0</v>
      </c>
      <c r="K21" s="703">
        <v>0</v>
      </c>
    </row>
    <row r="22" spans="1:11" hidden="1" x14ac:dyDescent="0.3">
      <c r="A22" s="45" t="s">
        <v>573</v>
      </c>
      <c r="B22" s="48"/>
      <c r="C22" s="48"/>
      <c r="D22" s="48"/>
      <c r="E22" s="48"/>
      <c r="F22" s="691">
        <v>0</v>
      </c>
      <c r="G22" s="692">
        <v>2800</v>
      </c>
      <c r="H22" s="692"/>
      <c r="I22" s="692"/>
      <c r="J22" s="692"/>
      <c r="K22" s="692"/>
    </row>
    <row r="23" spans="1:11" ht="17.25" thickBot="1" x14ac:dyDescent="0.35">
      <c r="A23" s="45"/>
      <c r="B23" s="48">
        <v>-15000</v>
      </c>
      <c r="C23" s="48"/>
      <c r="D23" s="48"/>
      <c r="E23" s="48"/>
      <c r="F23" s="691"/>
      <c r="G23" s="692"/>
      <c r="H23" s="692"/>
      <c r="I23" s="692"/>
      <c r="J23" s="692"/>
      <c r="K23" s="692"/>
    </row>
    <row r="24" spans="1:11" ht="17.25" thickTop="1" x14ac:dyDescent="0.3">
      <c r="A24" s="204" t="s">
        <v>113</v>
      </c>
      <c r="B24" s="131">
        <f t="shared" ref="B24:J24" si="0">SUM(B4:B23)</f>
        <v>43150</v>
      </c>
      <c r="C24" s="131">
        <f t="shared" si="0"/>
        <v>63750</v>
      </c>
      <c r="D24" s="131">
        <f t="shared" si="0"/>
        <v>87050</v>
      </c>
      <c r="E24" s="131">
        <f t="shared" si="0"/>
        <v>96580</v>
      </c>
      <c r="F24" s="693">
        <f t="shared" si="0"/>
        <v>92100</v>
      </c>
      <c r="G24" s="694">
        <f t="shared" si="0"/>
        <v>98200</v>
      </c>
      <c r="H24" s="694">
        <f t="shared" si="0"/>
        <v>97100</v>
      </c>
      <c r="I24" s="694">
        <f t="shared" si="0"/>
        <v>98800</v>
      </c>
      <c r="J24" s="694">
        <f t="shared" si="0"/>
        <v>103800</v>
      </c>
      <c r="K24" s="694">
        <f t="shared" ref="K24" si="1">SUM(K4:K23)</f>
        <v>108050</v>
      </c>
    </row>
  </sheetData>
  <sortState ref="A7:E16">
    <sortCondition ref="A7:A16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44" style="109" bestFit="1" customWidth="1"/>
    <col min="2" max="4" width="11.7109375" style="109" hidden="1" customWidth="1"/>
    <col min="5" max="8" width="12.5703125" style="109" hidden="1" customWidth="1"/>
    <col min="9" max="16384" width="9.140625" style="109"/>
  </cols>
  <sheetData>
    <row r="1" spans="1:11" ht="18" customHeight="1" x14ac:dyDescent="0.3">
      <c r="A1" s="551" t="s">
        <v>196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8" customHeight="1" x14ac:dyDescent="0.3">
      <c r="A2" s="124" t="s">
        <v>115</v>
      </c>
      <c r="B2" s="97">
        <v>2010</v>
      </c>
      <c r="C2" s="97">
        <v>2013</v>
      </c>
      <c r="D2" s="97">
        <v>2014</v>
      </c>
      <c r="E2" s="97">
        <v>2015</v>
      </c>
      <c r="F2" s="97">
        <v>2016</v>
      </c>
      <c r="G2" s="97">
        <v>2017</v>
      </c>
      <c r="H2" s="97">
        <v>2018</v>
      </c>
      <c r="I2" s="97">
        <v>2019</v>
      </c>
      <c r="J2" s="97">
        <v>2020</v>
      </c>
      <c r="K2" s="97">
        <v>2021</v>
      </c>
    </row>
    <row r="3" spans="1:11" ht="18" customHeight="1" x14ac:dyDescent="0.3">
      <c r="A3" s="124"/>
      <c r="B3" s="98"/>
      <c r="C3" s="98"/>
      <c r="D3" s="98"/>
      <c r="E3" s="98"/>
      <c r="F3" s="697"/>
      <c r="G3" s="697"/>
      <c r="H3" s="697"/>
      <c r="I3" s="697"/>
      <c r="J3" s="697"/>
      <c r="K3" s="697"/>
    </row>
    <row r="4" spans="1:11" ht="18" customHeight="1" x14ac:dyDescent="0.3">
      <c r="A4" s="50" t="s">
        <v>138</v>
      </c>
      <c r="B4" s="51">
        <v>400</v>
      </c>
      <c r="C4" s="51">
        <v>350</v>
      </c>
      <c r="D4" s="51">
        <v>400</v>
      </c>
      <c r="E4" s="51">
        <v>400</v>
      </c>
      <c r="F4" s="696">
        <v>400</v>
      </c>
      <c r="G4" s="696">
        <v>400</v>
      </c>
      <c r="H4" s="696">
        <v>400</v>
      </c>
      <c r="I4" s="696">
        <v>600</v>
      </c>
      <c r="J4" s="696">
        <v>600</v>
      </c>
      <c r="K4" s="696">
        <v>600</v>
      </c>
    </row>
    <row r="5" spans="1:11" ht="18" customHeight="1" x14ac:dyDescent="0.3">
      <c r="A5" s="50" t="s">
        <v>181</v>
      </c>
      <c r="B5" s="51">
        <v>500</v>
      </c>
      <c r="C5" s="51">
        <v>250</v>
      </c>
      <c r="D5" s="51">
        <v>250</v>
      </c>
      <c r="E5" s="51">
        <v>250</v>
      </c>
      <c r="F5" s="696">
        <v>2000</v>
      </c>
      <c r="G5" s="696">
        <v>2000</v>
      </c>
      <c r="H5" s="696">
        <v>2000</v>
      </c>
      <c r="I5" s="696">
        <v>2000</v>
      </c>
      <c r="J5" s="696">
        <v>2000</v>
      </c>
      <c r="K5" s="696">
        <v>2000</v>
      </c>
    </row>
    <row r="6" spans="1:11" ht="18" customHeight="1" x14ac:dyDescent="0.3">
      <c r="A6" s="50" t="s">
        <v>647</v>
      </c>
      <c r="B6" s="51">
        <v>2500</v>
      </c>
      <c r="C6" s="51">
        <v>1400</v>
      </c>
      <c r="D6" s="51">
        <v>1400</v>
      </c>
      <c r="E6" s="51">
        <v>1500</v>
      </c>
      <c r="F6" s="696">
        <v>1500</v>
      </c>
      <c r="G6" s="696">
        <v>1700</v>
      </c>
      <c r="H6" s="696">
        <v>1700</v>
      </c>
      <c r="I6" s="696">
        <v>1800</v>
      </c>
      <c r="J6" s="696">
        <v>1800</v>
      </c>
      <c r="K6" s="696">
        <v>1800</v>
      </c>
    </row>
    <row r="7" spans="1:11" ht="18" hidden="1" customHeight="1" x14ac:dyDescent="0.3">
      <c r="A7" s="50" t="s">
        <v>1</v>
      </c>
      <c r="B7" s="119">
        <v>750</v>
      </c>
      <c r="C7" s="51">
        <v>850</v>
      </c>
      <c r="D7" s="51">
        <v>850</v>
      </c>
      <c r="E7" s="51">
        <v>850</v>
      </c>
      <c r="F7" s="696">
        <v>0</v>
      </c>
      <c r="G7" s="696">
        <v>0</v>
      </c>
      <c r="H7" s="696">
        <v>0</v>
      </c>
      <c r="I7" s="696">
        <v>0</v>
      </c>
      <c r="J7" s="696">
        <v>0</v>
      </c>
      <c r="K7" s="696">
        <v>0</v>
      </c>
    </row>
    <row r="8" spans="1:11" ht="18" customHeight="1" x14ac:dyDescent="0.3">
      <c r="A8" s="37" t="s">
        <v>599</v>
      </c>
      <c r="B8" s="119">
        <v>600</v>
      </c>
      <c r="C8" s="59">
        <v>300</v>
      </c>
      <c r="D8" s="59">
        <v>300</v>
      </c>
      <c r="E8" s="59">
        <v>300</v>
      </c>
      <c r="F8" s="697">
        <v>400</v>
      </c>
      <c r="G8" s="697">
        <v>500</v>
      </c>
      <c r="H8" s="697">
        <v>1500</v>
      </c>
      <c r="I8" s="697">
        <v>1500</v>
      </c>
      <c r="J8" s="697">
        <v>1500</v>
      </c>
      <c r="K8" s="697">
        <v>1500</v>
      </c>
    </row>
    <row r="9" spans="1:11" ht="18" customHeight="1" x14ac:dyDescent="0.3">
      <c r="A9" s="50" t="s">
        <v>207</v>
      </c>
      <c r="B9" s="103">
        <v>6000</v>
      </c>
      <c r="C9" s="51">
        <v>7500</v>
      </c>
      <c r="D9" s="51">
        <v>7500</v>
      </c>
      <c r="E9" s="51">
        <v>7500</v>
      </c>
      <c r="F9" s="696">
        <v>11000</v>
      </c>
      <c r="G9" s="696">
        <v>12000</v>
      </c>
      <c r="H9" s="696">
        <v>12000</v>
      </c>
      <c r="I9" s="696">
        <v>14000</v>
      </c>
      <c r="J9" s="696">
        <v>14000</v>
      </c>
      <c r="K9" s="696">
        <v>14000</v>
      </c>
    </row>
    <row r="10" spans="1:11" ht="18" customHeight="1" x14ac:dyDescent="0.3">
      <c r="A10" s="436" t="s">
        <v>2</v>
      </c>
      <c r="B10" s="119">
        <v>1500</v>
      </c>
      <c r="C10" s="119">
        <v>200</v>
      </c>
      <c r="D10" s="119">
        <v>750</v>
      </c>
      <c r="E10" s="119">
        <v>750</v>
      </c>
      <c r="F10" s="701">
        <v>250</v>
      </c>
      <c r="G10" s="701">
        <v>500</v>
      </c>
      <c r="H10" s="701">
        <v>500</v>
      </c>
      <c r="I10" s="701">
        <v>500</v>
      </c>
      <c r="J10" s="701">
        <v>500</v>
      </c>
      <c r="K10" s="701">
        <v>500</v>
      </c>
    </row>
    <row r="11" spans="1:11" ht="18" hidden="1" customHeight="1" x14ac:dyDescent="0.3">
      <c r="A11" s="37" t="s">
        <v>469</v>
      </c>
      <c r="B11" s="60">
        <v>1000</v>
      </c>
      <c r="C11" s="60"/>
      <c r="D11" s="60"/>
      <c r="E11" s="60">
        <f>10740</f>
        <v>10740</v>
      </c>
      <c r="F11" s="633">
        <v>0</v>
      </c>
      <c r="G11" s="633">
        <v>0</v>
      </c>
      <c r="H11" s="633">
        <v>0</v>
      </c>
      <c r="I11" s="633">
        <v>0</v>
      </c>
      <c r="J11" s="633">
        <v>0</v>
      </c>
      <c r="K11" s="633">
        <v>0</v>
      </c>
    </row>
    <row r="12" spans="1:11" ht="18" hidden="1" customHeight="1" x14ac:dyDescent="0.3">
      <c r="A12" s="193" t="s">
        <v>468</v>
      </c>
      <c r="B12" s="51">
        <v>100</v>
      </c>
      <c r="C12" s="103">
        <v>100</v>
      </c>
      <c r="D12" s="103">
        <v>100</v>
      </c>
      <c r="E12" s="103">
        <v>100</v>
      </c>
      <c r="F12" s="689">
        <v>100</v>
      </c>
      <c r="G12" s="689">
        <v>0</v>
      </c>
      <c r="H12" s="689">
        <v>0</v>
      </c>
      <c r="I12" s="689">
        <v>0</v>
      </c>
      <c r="J12" s="689">
        <v>0</v>
      </c>
      <c r="K12" s="689">
        <v>0</v>
      </c>
    </row>
    <row r="13" spans="1:11" ht="18" customHeight="1" x14ac:dyDescent="0.3">
      <c r="A13" s="193" t="s">
        <v>177</v>
      </c>
      <c r="B13" s="51">
        <v>250</v>
      </c>
      <c r="C13" s="51"/>
      <c r="D13" s="51">
        <v>300</v>
      </c>
      <c r="E13" s="51">
        <v>300</v>
      </c>
      <c r="F13" s="696">
        <v>300</v>
      </c>
      <c r="G13" s="696">
        <v>300</v>
      </c>
      <c r="H13" s="696">
        <v>300</v>
      </c>
      <c r="I13" s="696">
        <v>0</v>
      </c>
      <c r="J13" s="696">
        <v>300</v>
      </c>
      <c r="K13" s="696">
        <v>0</v>
      </c>
    </row>
    <row r="14" spans="1:11" ht="18" customHeight="1" x14ac:dyDescent="0.3">
      <c r="A14" s="50" t="s">
        <v>262</v>
      </c>
      <c r="B14" s="119">
        <v>11000</v>
      </c>
      <c r="C14" s="60">
        <v>7500</v>
      </c>
      <c r="D14" s="60">
        <v>8000</v>
      </c>
      <c r="E14" s="60">
        <v>8000</v>
      </c>
      <c r="F14" s="633">
        <v>8000</v>
      </c>
      <c r="G14" s="633">
        <v>8000</v>
      </c>
      <c r="H14" s="633">
        <v>8000</v>
      </c>
      <c r="I14" s="633">
        <v>9000</v>
      </c>
      <c r="J14" s="633">
        <v>9000</v>
      </c>
      <c r="K14" s="633">
        <v>10000</v>
      </c>
    </row>
    <row r="15" spans="1:11" ht="18" customHeight="1" x14ac:dyDescent="0.3">
      <c r="A15" s="193" t="s">
        <v>205</v>
      </c>
      <c r="B15" s="51">
        <v>1500</v>
      </c>
      <c r="C15" s="51">
        <v>1000</v>
      </c>
      <c r="D15" s="51">
        <v>2000</v>
      </c>
      <c r="E15" s="51">
        <v>2000</v>
      </c>
      <c r="F15" s="696">
        <v>6000</v>
      </c>
      <c r="G15" s="696">
        <v>6000</v>
      </c>
      <c r="H15" s="696">
        <v>6000</v>
      </c>
      <c r="I15" s="696">
        <v>6000</v>
      </c>
      <c r="J15" s="696">
        <v>6000</v>
      </c>
      <c r="K15" s="696">
        <v>8000</v>
      </c>
    </row>
    <row r="16" spans="1:11" ht="18" customHeight="1" x14ac:dyDescent="0.3">
      <c r="A16" s="50" t="s">
        <v>263</v>
      </c>
      <c r="B16" s="51">
        <v>2000</v>
      </c>
      <c r="C16" s="119">
        <v>1500</v>
      </c>
      <c r="D16" s="119">
        <v>1500</v>
      </c>
      <c r="E16" s="119">
        <v>1500</v>
      </c>
      <c r="F16" s="701">
        <v>3800</v>
      </c>
      <c r="G16" s="701">
        <v>3500</v>
      </c>
      <c r="H16" s="701">
        <v>5500</v>
      </c>
      <c r="I16" s="701">
        <v>4000</v>
      </c>
      <c r="J16" s="701">
        <f>4000+(145*8)+(261*8)</f>
        <v>7248</v>
      </c>
      <c r="K16" s="701">
        <f>4000+(145*8)+(261*8)+2</f>
        <v>7250</v>
      </c>
    </row>
    <row r="17" spans="1:11" ht="18" customHeight="1" x14ac:dyDescent="0.3">
      <c r="A17" s="50" t="s">
        <v>206</v>
      </c>
      <c r="B17" s="51">
        <v>300</v>
      </c>
      <c r="C17" s="60">
        <v>300</v>
      </c>
      <c r="D17" s="60">
        <v>300</v>
      </c>
      <c r="E17" s="60">
        <v>300</v>
      </c>
      <c r="F17" s="633">
        <v>300</v>
      </c>
      <c r="G17" s="633">
        <v>300</v>
      </c>
      <c r="H17" s="633">
        <v>300</v>
      </c>
      <c r="I17" s="633">
        <v>350</v>
      </c>
      <c r="J17" s="633">
        <v>350</v>
      </c>
      <c r="K17" s="633">
        <v>350</v>
      </c>
    </row>
    <row r="18" spans="1:11" ht="18" customHeight="1" x14ac:dyDescent="0.3">
      <c r="A18" s="52" t="s">
        <v>264</v>
      </c>
      <c r="B18" s="437">
        <v>750</v>
      </c>
      <c r="C18" s="438">
        <v>600</v>
      </c>
      <c r="D18" s="438">
        <v>600</v>
      </c>
      <c r="E18" s="438">
        <v>600</v>
      </c>
      <c r="F18" s="704">
        <v>1200</v>
      </c>
      <c r="G18" s="704">
        <v>1500</v>
      </c>
      <c r="H18" s="704">
        <v>1500</v>
      </c>
      <c r="I18" s="704">
        <v>1500</v>
      </c>
      <c r="J18" s="704">
        <v>1500</v>
      </c>
      <c r="K18" s="704">
        <v>1000</v>
      </c>
    </row>
    <row r="19" spans="1:11" ht="18" customHeight="1" x14ac:dyDescent="0.3">
      <c r="A19" s="52" t="s">
        <v>178</v>
      </c>
      <c r="B19" s="487">
        <v>1000</v>
      </c>
      <c r="C19" s="437">
        <v>1000</v>
      </c>
      <c r="D19" s="437">
        <v>1500</v>
      </c>
      <c r="E19" s="437">
        <v>3000</v>
      </c>
      <c r="F19" s="705">
        <v>2000</v>
      </c>
      <c r="G19" s="705">
        <v>3000</v>
      </c>
      <c r="H19" s="705">
        <v>3000</v>
      </c>
      <c r="I19" s="705">
        <v>3200</v>
      </c>
      <c r="J19" s="705">
        <v>3200</v>
      </c>
      <c r="K19" s="705">
        <v>3200</v>
      </c>
    </row>
    <row r="20" spans="1:11" ht="18" customHeight="1" x14ac:dyDescent="0.3">
      <c r="A20" s="108" t="s">
        <v>179</v>
      </c>
      <c r="B20" s="437">
        <v>250</v>
      </c>
      <c r="C20" s="487"/>
      <c r="D20" s="487">
        <v>750</v>
      </c>
      <c r="E20" s="487">
        <v>750</v>
      </c>
      <c r="F20" s="706">
        <v>500</v>
      </c>
      <c r="G20" s="706">
        <v>750</v>
      </c>
      <c r="H20" s="706">
        <v>2500</v>
      </c>
      <c r="I20" s="706">
        <v>3500</v>
      </c>
      <c r="J20" s="706">
        <v>2000</v>
      </c>
      <c r="K20" s="706">
        <v>2000</v>
      </c>
    </row>
    <row r="21" spans="1:11" ht="18" customHeight="1" x14ac:dyDescent="0.3">
      <c r="A21" s="52" t="s">
        <v>180</v>
      </c>
      <c r="B21" s="549"/>
      <c r="C21" s="437">
        <v>400</v>
      </c>
      <c r="D21" s="437">
        <v>400</v>
      </c>
      <c r="E21" s="437">
        <v>400</v>
      </c>
      <c r="F21" s="705">
        <v>200</v>
      </c>
      <c r="G21" s="705">
        <v>250</v>
      </c>
      <c r="H21" s="705">
        <v>250</v>
      </c>
      <c r="I21" s="705">
        <v>750</v>
      </c>
      <c r="J21" s="705">
        <f>200+(90*6)+(120*2)+(63*3)+(220*3)+(175*2)</f>
        <v>2179</v>
      </c>
      <c r="K21" s="705">
        <f>200+(90*6)+(120*2)+(63*3)+(220*3)+(175*2)</f>
        <v>2179</v>
      </c>
    </row>
    <row r="22" spans="1:11" ht="18" hidden="1" customHeight="1" x14ac:dyDescent="0.3">
      <c r="A22" s="61" t="s">
        <v>421</v>
      </c>
      <c r="B22" s="438"/>
      <c r="C22" s="438">
        <v>25000</v>
      </c>
      <c r="D22" s="438"/>
      <c r="E22" s="438"/>
      <c r="F22" s="704">
        <v>27000</v>
      </c>
      <c r="G22" s="707">
        <v>0</v>
      </c>
      <c r="H22" s="707">
        <v>0</v>
      </c>
      <c r="I22" s="707">
        <v>0</v>
      </c>
      <c r="J22" s="707">
        <v>0</v>
      </c>
      <c r="K22" s="707">
        <v>0</v>
      </c>
    </row>
    <row r="23" spans="1:11" ht="18" customHeight="1" x14ac:dyDescent="0.3">
      <c r="A23" s="52" t="s">
        <v>525</v>
      </c>
      <c r="C23" s="550"/>
      <c r="D23" s="550"/>
      <c r="E23" s="438">
        <v>9086</v>
      </c>
      <c r="F23" s="704">
        <v>4000</v>
      </c>
      <c r="G23" s="707">
        <v>0</v>
      </c>
      <c r="H23" s="707">
        <v>2000</v>
      </c>
      <c r="I23" s="707">
        <v>2750</v>
      </c>
      <c r="J23" s="707">
        <v>2900</v>
      </c>
      <c r="K23" s="707">
        <v>3000</v>
      </c>
    </row>
    <row r="24" spans="1:11" ht="18" hidden="1" customHeight="1" x14ac:dyDescent="0.3">
      <c r="A24" s="61" t="s">
        <v>600</v>
      </c>
      <c r="B24" s="439"/>
      <c r="C24" s="438"/>
      <c r="D24" s="438"/>
      <c r="E24" s="438">
        <v>5000</v>
      </c>
      <c r="F24" s="704">
        <v>0</v>
      </c>
      <c r="G24" s="707">
        <v>1500</v>
      </c>
      <c r="H24" s="707">
        <v>1500</v>
      </c>
      <c r="I24" s="707">
        <v>0</v>
      </c>
      <c r="J24" s="707">
        <v>0</v>
      </c>
      <c r="K24" s="707">
        <v>0</v>
      </c>
    </row>
    <row r="25" spans="1:11" ht="18" hidden="1" customHeight="1" x14ac:dyDescent="0.3">
      <c r="A25" s="570" t="s">
        <v>526</v>
      </c>
      <c r="B25" s="569"/>
      <c r="C25" s="438"/>
      <c r="D25" s="438"/>
      <c r="E25" s="438"/>
      <c r="F25" s="704">
        <f>2*11500</f>
        <v>23000</v>
      </c>
      <c r="G25" s="707">
        <v>0</v>
      </c>
      <c r="H25" s="707">
        <v>0</v>
      </c>
      <c r="I25" s="707">
        <v>0</v>
      </c>
      <c r="J25" s="707">
        <v>0</v>
      </c>
      <c r="K25" s="707">
        <v>0</v>
      </c>
    </row>
    <row r="26" spans="1:11" ht="18" hidden="1" customHeight="1" x14ac:dyDescent="0.3">
      <c r="A26" s="570" t="s">
        <v>527</v>
      </c>
      <c r="B26" s="569"/>
      <c r="C26" s="438"/>
      <c r="D26" s="438"/>
      <c r="E26" s="438"/>
      <c r="F26" s="704">
        <f>3*3500</f>
        <v>10500</v>
      </c>
      <c r="G26" s="707">
        <v>0</v>
      </c>
      <c r="H26" s="707">
        <v>0</v>
      </c>
      <c r="I26" s="707">
        <v>0</v>
      </c>
      <c r="J26" s="707">
        <v>0</v>
      </c>
      <c r="K26" s="707">
        <v>0</v>
      </c>
    </row>
    <row r="27" spans="1:11" ht="18" customHeight="1" x14ac:dyDescent="0.3">
      <c r="A27" s="52" t="s">
        <v>707</v>
      </c>
      <c r="C27" s="52"/>
      <c r="D27" s="52"/>
      <c r="E27" s="52"/>
      <c r="F27" s="633">
        <v>0</v>
      </c>
      <c r="G27" s="634">
        <v>42000</v>
      </c>
      <c r="H27" s="634">
        <v>4000</v>
      </c>
      <c r="I27" s="634">
        <v>0</v>
      </c>
      <c r="J27" s="634">
        <v>15000</v>
      </c>
      <c r="K27" s="634">
        <v>25000</v>
      </c>
    </row>
    <row r="28" spans="1:11" ht="18" customHeight="1" x14ac:dyDescent="0.3">
      <c r="A28" s="52" t="s">
        <v>712</v>
      </c>
      <c r="C28" s="550"/>
      <c r="D28" s="550"/>
      <c r="E28" s="962"/>
      <c r="F28" s="704"/>
      <c r="G28" s="707"/>
      <c r="H28" s="707"/>
      <c r="I28" s="707">
        <v>0</v>
      </c>
      <c r="J28" s="707">
        <f>(12*977.55)+(12*356.25)+(12*62)+62+944+183</f>
        <v>17938.599999999999</v>
      </c>
      <c r="K28" s="707">
        <v>0</v>
      </c>
    </row>
    <row r="29" spans="1:11" ht="18" customHeight="1" x14ac:dyDescent="0.3">
      <c r="A29" s="991" t="s">
        <v>838</v>
      </c>
      <c r="C29" s="550"/>
      <c r="D29" s="550"/>
      <c r="E29" s="962"/>
      <c r="F29" s="704"/>
      <c r="G29" s="707"/>
      <c r="H29" s="707"/>
      <c r="I29" s="707">
        <v>0</v>
      </c>
      <c r="J29" s="707">
        <v>0</v>
      </c>
      <c r="K29" s="707">
        <f>3*1400</f>
        <v>4200</v>
      </c>
    </row>
    <row r="30" spans="1:11" ht="18" customHeight="1" x14ac:dyDescent="0.3">
      <c r="A30" s="943"/>
      <c r="B30" s="439">
        <v>-20000</v>
      </c>
      <c r="C30" s="439"/>
      <c r="D30" s="439"/>
      <c r="E30" s="438"/>
      <c r="F30" s="704"/>
      <c r="G30" s="707"/>
      <c r="H30" s="707"/>
      <c r="I30" s="707"/>
      <c r="J30" s="707"/>
      <c r="K30" s="707"/>
    </row>
    <row r="31" spans="1:11" ht="18" customHeight="1" x14ac:dyDescent="0.3">
      <c r="A31" s="440" t="s">
        <v>159</v>
      </c>
      <c r="B31" s="370">
        <f t="shared" ref="B31:K31" si="0">SUM(B3:B30)</f>
        <v>10400</v>
      </c>
      <c r="C31" s="370">
        <f t="shared" si="0"/>
        <v>48250</v>
      </c>
      <c r="D31" s="370">
        <f t="shared" si="0"/>
        <v>26900</v>
      </c>
      <c r="E31" s="370">
        <f t="shared" si="0"/>
        <v>53326</v>
      </c>
      <c r="F31" s="708">
        <f t="shared" si="0"/>
        <v>102450</v>
      </c>
      <c r="G31" s="709">
        <f t="shared" si="0"/>
        <v>84200</v>
      </c>
      <c r="H31" s="709">
        <f t="shared" si="0"/>
        <v>52950</v>
      </c>
      <c r="I31" s="709">
        <f t="shared" si="0"/>
        <v>51450</v>
      </c>
      <c r="J31" s="709">
        <f t="shared" si="0"/>
        <v>88015.6</v>
      </c>
      <c r="K31" s="709">
        <f t="shared" si="0"/>
        <v>86579</v>
      </c>
    </row>
    <row r="32" spans="1:11" ht="18" customHeight="1" x14ac:dyDescent="0.3">
      <c r="A32" s="25"/>
    </row>
    <row r="33" spans="1:1" ht="18" customHeight="1" x14ac:dyDescent="0.3"/>
    <row r="36" spans="1:1" x14ac:dyDescent="0.3">
      <c r="A36" s="211"/>
    </row>
    <row r="37" spans="1:1" x14ac:dyDescent="0.3">
      <c r="A37" s="211"/>
    </row>
    <row r="38" spans="1:1" x14ac:dyDescent="0.3">
      <c r="A38" s="211"/>
    </row>
    <row r="39" spans="1:1" x14ac:dyDescent="0.3">
      <c r="A39" s="211"/>
    </row>
    <row r="40" spans="1:1" x14ac:dyDescent="0.3">
      <c r="A40" s="212"/>
    </row>
    <row r="41" spans="1:1" x14ac:dyDescent="0.3">
      <c r="A41" s="211"/>
    </row>
  </sheetData>
  <sortState ref="A4:E23">
    <sortCondition ref="A4:A23"/>
  </sortState>
  <phoneticPr fontId="20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ColWidth="9.140625" defaultRowHeight="16.5" x14ac:dyDescent="0.3"/>
  <cols>
    <col min="1" max="1" width="30.42578125" style="109" bestFit="1" customWidth="1"/>
    <col min="2" max="2" width="10.7109375" style="109" hidden="1" customWidth="1"/>
    <col min="3" max="3" width="11.5703125" style="109" hidden="1" customWidth="1"/>
    <col min="4" max="4" width="10.7109375" style="109" hidden="1" customWidth="1"/>
    <col min="5" max="8" width="11.5703125" style="109" hidden="1" customWidth="1"/>
    <col min="9" max="16384" width="9.140625" style="109"/>
  </cols>
  <sheetData>
    <row r="1" spans="1:11" ht="24" customHeight="1" x14ac:dyDescent="0.3">
      <c r="A1" s="551" t="s">
        <v>473</v>
      </c>
      <c r="B1" s="187"/>
      <c r="C1" s="187"/>
      <c r="D1" s="187"/>
      <c r="E1" s="213"/>
      <c r="F1" s="213"/>
      <c r="G1" s="213"/>
      <c r="H1" s="213"/>
      <c r="I1" s="213"/>
      <c r="J1" s="213"/>
      <c r="K1" s="213"/>
    </row>
    <row r="2" spans="1:11" ht="20.100000000000001" customHeight="1" x14ac:dyDescent="0.3">
      <c r="A2" s="192"/>
      <c r="B2" s="96"/>
      <c r="C2" s="96"/>
      <c r="D2" s="96"/>
      <c r="E2" s="52"/>
      <c r="F2" s="52"/>
      <c r="G2" s="52"/>
      <c r="H2" s="52"/>
      <c r="I2" s="52"/>
      <c r="J2" s="52"/>
      <c r="K2" s="52"/>
    </row>
    <row r="3" spans="1:11" ht="20.100000000000001" customHeight="1" x14ac:dyDescent="0.3">
      <c r="A3" s="192"/>
      <c r="B3" s="39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07">
        <v>2018</v>
      </c>
      <c r="I3" s="107">
        <v>2019</v>
      </c>
      <c r="J3" s="107">
        <v>2020</v>
      </c>
      <c r="K3" s="107">
        <v>2021</v>
      </c>
    </row>
    <row r="4" spans="1:11" ht="20.100000000000001" customHeight="1" x14ac:dyDescent="0.3">
      <c r="A4" s="192"/>
      <c r="B4" s="99"/>
      <c r="C4" s="214"/>
      <c r="D4" s="214"/>
      <c r="E4" s="214"/>
      <c r="F4" s="710"/>
      <c r="G4" s="710"/>
      <c r="H4" s="710"/>
      <c r="I4" s="710"/>
      <c r="J4" s="710"/>
      <c r="K4" s="710"/>
    </row>
    <row r="5" spans="1:11" ht="20.100000000000001" customHeight="1" x14ac:dyDescent="0.3">
      <c r="A5" s="50" t="s">
        <v>175</v>
      </c>
      <c r="B5" s="839">
        <v>16766</v>
      </c>
      <c r="C5" s="51">
        <v>19465</v>
      </c>
      <c r="D5" s="51">
        <v>19269</v>
      </c>
      <c r="E5" s="51">
        <v>18617.73</v>
      </c>
      <c r="F5" s="696">
        <v>19077</v>
      </c>
      <c r="G5" s="696">
        <v>15782</v>
      </c>
      <c r="H5" s="696">
        <v>22314</v>
      </c>
      <c r="I5" s="696">
        <v>22102</v>
      </c>
      <c r="J5" s="696">
        <v>23418</v>
      </c>
      <c r="K5" s="696">
        <f>'Uniform WS'!E52</f>
        <v>19232.3</v>
      </c>
    </row>
    <row r="6" spans="1:11" ht="20.100000000000001" customHeight="1" x14ac:dyDescent="0.3">
      <c r="A6" s="37" t="s">
        <v>176</v>
      </c>
      <c r="B6" s="839">
        <v>37450</v>
      </c>
      <c r="C6" s="40">
        <f>'Gear WS'!C28</f>
        <v>31900</v>
      </c>
      <c r="D6" s="40">
        <f>'Gear WS'!D28</f>
        <v>34917.75</v>
      </c>
      <c r="E6" s="40">
        <v>38575.300000000003</v>
      </c>
      <c r="F6" s="644">
        <v>48390</v>
      </c>
      <c r="G6" s="644">
        <f>'Gear WS'!G28</f>
        <v>109740</v>
      </c>
      <c r="H6" s="644">
        <f>'Gear WS'!H28</f>
        <v>59680</v>
      </c>
      <c r="I6" s="644">
        <f>'Gear WS'!I28</f>
        <v>44810</v>
      </c>
      <c r="J6" s="644">
        <v>52814</v>
      </c>
      <c r="K6" s="644">
        <f>'Gear WS'!K28</f>
        <v>43830</v>
      </c>
    </row>
    <row r="7" spans="1:11" ht="20.100000000000001" customHeight="1" x14ac:dyDescent="0.3">
      <c r="A7" s="240"/>
      <c r="B7" s="840"/>
      <c r="C7" s="840"/>
      <c r="D7" s="840"/>
      <c r="E7" s="840"/>
      <c r="F7" s="841"/>
      <c r="G7" s="841"/>
      <c r="H7" s="841"/>
      <c r="I7" s="841"/>
      <c r="J7" s="841"/>
      <c r="K7" s="841"/>
    </row>
    <row r="8" spans="1:11" ht="20.100000000000001" customHeight="1" x14ac:dyDescent="0.3">
      <c r="A8" s="282"/>
      <c r="B8" s="40"/>
      <c r="C8" s="40"/>
      <c r="D8" s="40"/>
      <c r="E8" s="40"/>
      <c r="F8" s="644"/>
      <c r="G8" s="644"/>
      <c r="H8" s="644"/>
      <c r="I8" s="644"/>
      <c r="J8" s="644"/>
      <c r="K8" s="644"/>
    </row>
    <row r="9" spans="1:11" ht="20.100000000000001" customHeight="1" x14ac:dyDescent="0.3">
      <c r="A9" s="282"/>
      <c r="B9" s="40"/>
      <c r="C9" s="40"/>
      <c r="D9" s="40"/>
      <c r="E9" s="40"/>
      <c r="F9" s="644"/>
      <c r="G9" s="644"/>
      <c r="H9" s="644"/>
      <c r="I9" s="644"/>
      <c r="J9" s="644"/>
      <c r="K9" s="644"/>
    </row>
    <row r="10" spans="1:11" ht="20.100000000000001" customHeight="1" x14ac:dyDescent="0.3">
      <c r="A10" s="37"/>
      <c r="B10" s="40"/>
      <c r="C10" s="40"/>
      <c r="D10" s="40"/>
      <c r="E10" s="40"/>
      <c r="F10" s="644"/>
      <c r="G10" s="644"/>
      <c r="H10" s="644"/>
      <c r="I10" s="644"/>
      <c r="J10" s="644"/>
      <c r="K10" s="644"/>
    </row>
    <row r="11" spans="1:11" ht="20.100000000000001" customHeight="1" thickBot="1" x14ac:dyDescent="0.35">
      <c r="A11" s="503"/>
      <c r="B11" s="453">
        <v>-24500</v>
      </c>
      <c r="C11" s="278"/>
      <c r="D11" s="278"/>
      <c r="E11" s="278"/>
      <c r="F11" s="736"/>
      <c r="G11" s="736"/>
      <c r="H11" s="736"/>
      <c r="I11" s="736"/>
      <c r="J11" s="736"/>
      <c r="K11" s="736"/>
    </row>
    <row r="12" spans="1:11" ht="24" customHeight="1" thickTop="1" x14ac:dyDescent="0.3">
      <c r="A12" s="210" t="s">
        <v>160</v>
      </c>
      <c r="B12" s="42">
        <f t="shared" ref="B12:H12" si="0">SUM(B4:B11)</f>
        <v>29716</v>
      </c>
      <c r="C12" s="42">
        <f t="shared" si="0"/>
        <v>51365</v>
      </c>
      <c r="D12" s="42">
        <f t="shared" si="0"/>
        <v>54186.75</v>
      </c>
      <c r="E12" s="110">
        <f t="shared" si="0"/>
        <v>57193.03</v>
      </c>
      <c r="F12" s="724">
        <f t="shared" si="0"/>
        <v>67467</v>
      </c>
      <c r="G12" s="724">
        <f t="shared" ref="G12" si="1">SUM(G4:G11)</f>
        <v>125522</v>
      </c>
      <c r="H12" s="724">
        <f t="shared" si="0"/>
        <v>81994</v>
      </c>
      <c r="I12" s="724">
        <f t="shared" ref="I12:J12" si="2">SUM(I4:I11)</f>
        <v>66912</v>
      </c>
      <c r="J12" s="724">
        <f t="shared" si="2"/>
        <v>76232</v>
      </c>
      <c r="K12" s="724">
        <f t="shared" ref="K12" si="3">SUM(K4:K11)</f>
        <v>63062.3</v>
      </c>
    </row>
    <row r="13" spans="1:11" x14ac:dyDescent="0.3">
      <c r="B13" s="25"/>
      <c r="C13" s="25"/>
    </row>
    <row r="14" spans="1:11" x14ac:dyDescent="0.3">
      <c r="B14" s="25"/>
      <c r="C14" s="25"/>
    </row>
    <row r="15" spans="1:11" x14ac:dyDescent="0.3">
      <c r="B15" s="25"/>
      <c r="C15" s="25"/>
    </row>
    <row r="16" spans="1:11" x14ac:dyDescent="0.3">
      <c r="B16" s="25"/>
      <c r="C16" s="25"/>
    </row>
    <row r="17" spans="2:3" x14ac:dyDescent="0.3">
      <c r="B17" s="25"/>
      <c r="C17" s="25"/>
    </row>
    <row r="18" spans="2:3" x14ac:dyDescent="0.3">
      <c r="B18" s="25"/>
      <c r="C18" s="25"/>
    </row>
    <row r="19" spans="2:3" x14ac:dyDescent="0.3">
      <c r="B19" s="25"/>
      <c r="C19" s="25"/>
    </row>
    <row r="20" spans="2:3" x14ac:dyDescent="0.3">
      <c r="B20" s="25"/>
      <c r="C20" s="25"/>
    </row>
    <row r="21" spans="2:3" x14ac:dyDescent="0.3">
      <c r="B21" s="25"/>
      <c r="C21" s="25"/>
    </row>
    <row r="22" spans="2:3" x14ac:dyDescent="0.3">
      <c r="B22" s="25"/>
      <c r="C22" s="25"/>
    </row>
    <row r="23" spans="2:3" x14ac:dyDescent="0.3">
      <c r="B23" s="25"/>
      <c r="C23" s="25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4"/>
  <sheetViews>
    <sheetView workbookViewId="0">
      <selection sqref="A1:E1"/>
    </sheetView>
  </sheetViews>
  <sheetFormatPr defaultColWidth="9.140625" defaultRowHeight="18.75" customHeight="1" x14ac:dyDescent="0.2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 x14ac:dyDescent="0.2">
      <c r="A1" s="1048" t="s">
        <v>322</v>
      </c>
      <c r="B1" s="1049"/>
      <c r="C1" s="1049"/>
      <c r="D1" s="1049"/>
      <c r="E1" s="1050"/>
      <c r="G1" s="5"/>
    </row>
    <row r="2" spans="1:7" ht="15.75" x14ac:dyDescent="0.25">
      <c r="A2" s="295" t="s">
        <v>124</v>
      </c>
      <c r="B2" s="296"/>
      <c r="C2" s="296"/>
      <c r="D2" s="296"/>
      <c r="E2" s="297"/>
      <c r="G2" s="5"/>
    </row>
    <row r="3" spans="1:7" s="10" customFormat="1" ht="15.75" x14ac:dyDescent="0.25">
      <c r="A3" s="27" t="s">
        <v>125</v>
      </c>
      <c r="B3" s="298" t="s">
        <v>676</v>
      </c>
      <c r="C3" s="298" t="s">
        <v>126</v>
      </c>
      <c r="D3" s="298" t="s">
        <v>127</v>
      </c>
      <c r="E3" s="299" t="s">
        <v>128</v>
      </c>
      <c r="F3"/>
    </row>
    <row r="4" spans="1:7" ht="14.1" customHeight="1" x14ac:dyDescent="0.25">
      <c r="A4" s="260" t="s">
        <v>129</v>
      </c>
      <c r="B4" s="258">
        <v>30</v>
      </c>
      <c r="C4" s="258">
        <v>0.5</v>
      </c>
      <c r="D4" s="300">
        <f>((87.5+97.5)/2)+6</f>
        <v>98.5</v>
      </c>
      <c r="E4" s="312">
        <f t="shared" ref="E4:E9" si="0">B4*C4*D4</f>
        <v>1477.5</v>
      </c>
      <c r="G4" s="5"/>
    </row>
    <row r="5" spans="1:7" ht="14.1" customHeight="1" x14ac:dyDescent="0.25">
      <c r="A5" s="260" t="s">
        <v>130</v>
      </c>
      <c r="B5" s="258">
        <f>B4</f>
        <v>30</v>
      </c>
      <c r="C5" s="258">
        <v>1</v>
      </c>
      <c r="D5" s="300">
        <f>104.5</f>
        <v>104.5</v>
      </c>
      <c r="E5" s="312">
        <f t="shared" si="0"/>
        <v>3135</v>
      </c>
      <c r="G5" s="5"/>
    </row>
    <row r="6" spans="1:7" ht="14.1" customHeight="1" x14ac:dyDescent="0.25">
      <c r="A6" s="260" t="s">
        <v>569</v>
      </c>
      <c r="B6" s="258">
        <f>B4</f>
        <v>30</v>
      </c>
      <c r="C6" s="258">
        <v>4</v>
      </c>
      <c r="D6" s="300">
        <v>12</v>
      </c>
      <c r="E6" s="312">
        <f t="shared" si="0"/>
        <v>1440</v>
      </c>
      <c r="G6" s="5"/>
    </row>
    <row r="7" spans="1:7" ht="14.1" customHeight="1" x14ac:dyDescent="0.25">
      <c r="A7" s="260" t="s">
        <v>675</v>
      </c>
      <c r="B7" s="258">
        <f>B4</f>
        <v>30</v>
      </c>
      <c r="C7" s="258">
        <v>2</v>
      </c>
      <c r="D7" s="300">
        <f>42+8+6</f>
        <v>56</v>
      </c>
      <c r="E7" s="312">
        <f t="shared" si="0"/>
        <v>3360</v>
      </c>
      <c r="G7" s="5"/>
    </row>
    <row r="8" spans="1:7" ht="14.1" customHeight="1" x14ac:dyDescent="0.25">
      <c r="A8" s="260" t="s">
        <v>142</v>
      </c>
      <c r="B8" s="258">
        <f>B4</f>
        <v>30</v>
      </c>
      <c r="C8" s="258">
        <v>1</v>
      </c>
      <c r="D8" s="300">
        <f>64.5</f>
        <v>64.5</v>
      </c>
      <c r="E8" s="312">
        <f t="shared" si="0"/>
        <v>1935</v>
      </c>
      <c r="G8" s="5"/>
    </row>
    <row r="9" spans="1:7" ht="14.1" customHeight="1" x14ac:dyDescent="0.25">
      <c r="A9" s="260" t="s">
        <v>678</v>
      </c>
      <c r="B9" s="258">
        <f>B4</f>
        <v>30</v>
      </c>
      <c r="C9" s="258">
        <v>1</v>
      </c>
      <c r="D9" s="300">
        <v>20</v>
      </c>
      <c r="E9" s="312">
        <f t="shared" si="0"/>
        <v>600</v>
      </c>
      <c r="G9" s="5"/>
    </row>
    <row r="10" spans="1:7" ht="14.1" customHeight="1" x14ac:dyDescent="0.25">
      <c r="A10" s="301"/>
      <c r="B10" s="258"/>
      <c r="C10" s="258"/>
      <c r="D10" s="259"/>
      <c r="E10" s="313">
        <f>SUM(E4:E9)</f>
        <v>11947.5</v>
      </c>
      <c r="G10" s="5"/>
    </row>
    <row r="11" spans="1:7" ht="14.1" customHeight="1" x14ac:dyDescent="0.25">
      <c r="A11" s="301" t="s">
        <v>131</v>
      </c>
      <c r="B11" s="258"/>
      <c r="C11" s="258"/>
      <c r="D11" s="258"/>
      <c r="E11" s="314"/>
      <c r="G11" s="5"/>
    </row>
    <row r="12" spans="1:7" s="7" customFormat="1" ht="14.1" customHeight="1" x14ac:dyDescent="0.25">
      <c r="A12" s="27" t="str">
        <f>A3</f>
        <v>Item</v>
      </c>
      <c r="B12" s="298" t="str">
        <f>B3</f>
        <v>Personnel</v>
      </c>
      <c r="C12" s="298" t="str">
        <f>C3</f>
        <v>Quantity</v>
      </c>
      <c r="D12" s="298" t="str">
        <f>D3</f>
        <v xml:space="preserve">Cost </v>
      </c>
      <c r="E12" s="299" t="str">
        <f>E3</f>
        <v>Total</v>
      </c>
      <c r="F12"/>
    </row>
    <row r="13" spans="1:7" ht="14.1" customHeight="1" x14ac:dyDescent="0.25">
      <c r="A13" s="260" t="str">
        <f>A4</f>
        <v>Nomex Shirt</v>
      </c>
      <c r="B13" s="258">
        <v>3</v>
      </c>
      <c r="C13" s="258">
        <v>0</v>
      </c>
      <c r="D13" s="300">
        <f>D4</f>
        <v>98.5</v>
      </c>
      <c r="E13" s="312">
        <f>B13*C13*D13</f>
        <v>0</v>
      </c>
      <c r="G13" s="5"/>
    </row>
    <row r="14" spans="1:7" ht="14.1" customHeight="1" x14ac:dyDescent="0.25">
      <c r="A14" s="260" t="str">
        <f>A6</f>
        <v>T-Shirt</v>
      </c>
      <c r="B14" s="258">
        <f>B13</f>
        <v>3</v>
      </c>
      <c r="C14" s="258">
        <v>2</v>
      </c>
      <c r="D14" s="300">
        <f>D6</f>
        <v>12</v>
      </c>
      <c r="E14" s="312">
        <f>B14*C14*D14</f>
        <v>72</v>
      </c>
      <c r="G14" s="5"/>
    </row>
    <row r="15" spans="1:7" ht="14.1" customHeight="1" x14ac:dyDescent="0.25">
      <c r="A15" s="260" t="str">
        <f>A7</f>
        <v>Golf Shirt</v>
      </c>
      <c r="B15" s="258">
        <f>B13</f>
        <v>3</v>
      </c>
      <c r="C15" s="258">
        <v>1</v>
      </c>
      <c r="D15" s="300">
        <f>D7</f>
        <v>56</v>
      </c>
      <c r="E15" s="312">
        <f>B15*C15*D15</f>
        <v>168</v>
      </c>
      <c r="G15" s="5"/>
    </row>
    <row r="16" spans="1:7" ht="14.1" customHeight="1" x14ac:dyDescent="0.25">
      <c r="A16" s="260" t="str">
        <f>A8</f>
        <v>EMT Pants</v>
      </c>
      <c r="B16" s="258">
        <f>B13</f>
        <v>3</v>
      </c>
      <c r="C16" s="258">
        <v>1</v>
      </c>
      <c r="D16" s="300">
        <f>D8</f>
        <v>64.5</v>
      </c>
      <c r="E16" s="312">
        <f>B16*C16*D16</f>
        <v>193.5</v>
      </c>
      <c r="G16" s="5"/>
    </row>
    <row r="17" spans="1:7" ht="14.1" customHeight="1" x14ac:dyDescent="0.25">
      <c r="A17" s="260" t="str">
        <f>A9</f>
        <v>Uniform Shorts</v>
      </c>
      <c r="B17" s="258">
        <v>3</v>
      </c>
      <c r="C17" s="258">
        <v>1</v>
      </c>
      <c r="D17" s="300">
        <f>D9</f>
        <v>20</v>
      </c>
      <c r="E17" s="312">
        <f>B17*C17*D17</f>
        <v>60</v>
      </c>
      <c r="G17" s="5"/>
    </row>
    <row r="18" spans="1:7" ht="14.1" customHeight="1" x14ac:dyDescent="0.25">
      <c r="A18" s="260"/>
      <c r="B18" s="258"/>
      <c r="C18" s="258"/>
      <c r="D18" s="259"/>
      <c r="E18" s="315">
        <f>SUM(E13:E17)</f>
        <v>493.5</v>
      </c>
      <c r="G18" s="5"/>
    </row>
    <row r="19" spans="1:7" ht="14.1" customHeight="1" x14ac:dyDescent="0.25">
      <c r="A19" s="301" t="s">
        <v>857</v>
      </c>
      <c r="B19" s="258"/>
      <c r="C19" s="258"/>
      <c r="D19" s="258"/>
      <c r="E19" s="261"/>
      <c r="G19" s="5"/>
    </row>
    <row r="20" spans="1:7" s="7" customFormat="1" ht="14.1" customHeight="1" x14ac:dyDescent="0.25">
      <c r="A20" s="27" t="str">
        <f>A3</f>
        <v>Item</v>
      </c>
      <c r="B20" s="298" t="str">
        <f>B3</f>
        <v>Personnel</v>
      </c>
      <c r="C20" s="298" t="str">
        <f>C3</f>
        <v>Quantity</v>
      </c>
      <c r="D20" s="298" t="str">
        <f>D3</f>
        <v xml:space="preserve">Cost </v>
      </c>
      <c r="E20" s="299" t="str">
        <f>E3</f>
        <v>Total</v>
      </c>
      <c r="F20"/>
    </row>
    <row r="21" spans="1:7" ht="14.1" customHeight="1" x14ac:dyDescent="0.25">
      <c r="A21" s="260" t="str">
        <f>A4</f>
        <v>Nomex Shirt</v>
      </c>
      <c r="B21" s="556">
        <v>1</v>
      </c>
      <c r="C21" s="258">
        <v>4</v>
      </c>
      <c r="D21" s="300">
        <f>D4</f>
        <v>98.5</v>
      </c>
      <c r="E21" s="312">
        <f>B21*C21*D21</f>
        <v>394</v>
      </c>
      <c r="G21" s="5"/>
    </row>
    <row r="22" spans="1:7" ht="14.1" customHeight="1" x14ac:dyDescent="0.25">
      <c r="A22" s="260" t="str">
        <f>A5</f>
        <v>Nomex Pants</v>
      </c>
      <c r="B22" s="556">
        <f>B21</f>
        <v>1</v>
      </c>
      <c r="C22" s="258">
        <v>2</v>
      </c>
      <c r="D22" s="300">
        <f>D5</f>
        <v>104.5</v>
      </c>
      <c r="E22" s="312">
        <f>B22*C22*D22</f>
        <v>209</v>
      </c>
      <c r="G22" s="5"/>
    </row>
    <row r="23" spans="1:7" ht="14.1" customHeight="1" x14ac:dyDescent="0.25">
      <c r="A23" s="260" t="str">
        <f>A6</f>
        <v>T-Shirt</v>
      </c>
      <c r="B23" s="556">
        <f>B21</f>
        <v>1</v>
      </c>
      <c r="C23" s="258">
        <v>5</v>
      </c>
      <c r="D23" s="300">
        <f>D6</f>
        <v>12</v>
      </c>
      <c r="E23" s="312">
        <f>B23*C23*D23</f>
        <v>60</v>
      </c>
      <c r="G23" s="5"/>
    </row>
    <row r="24" spans="1:7" ht="14.1" customHeight="1" x14ac:dyDescent="0.25">
      <c r="A24" s="260" t="str">
        <f>A7</f>
        <v>Golf Shirt</v>
      </c>
      <c r="B24" s="556">
        <f>B21</f>
        <v>1</v>
      </c>
      <c r="C24" s="258">
        <v>1</v>
      </c>
      <c r="D24" s="300">
        <f>D7</f>
        <v>56</v>
      </c>
      <c r="E24" s="312">
        <f>B24*C24*D24</f>
        <v>56</v>
      </c>
      <c r="G24" s="5"/>
    </row>
    <row r="25" spans="1:7" ht="14.1" customHeight="1" x14ac:dyDescent="0.25">
      <c r="A25" s="260" t="str">
        <f>A8</f>
        <v>EMT Pants</v>
      </c>
      <c r="B25" s="556">
        <f>B21</f>
        <v>1</v>
      </c>
      <c r="C25" s="258">
        <v>0</v>
      </c>
      <c r="D25" s="259">
        <f>D8</f>
        <v>64.5</v>
      </c>
      <c r="E25" s="312">
        <f>B25*C25*D25</f>
        <v>0</v>
      </c>
      <c r="G25" s="5"/>
    </row>
    <row r="26" spans="1:7" ht="14.1" customHeight="1" x14ac:dyDescent="0.25">
      <c r="A26" s="301"/>
      <c r="B26" s="258"/>
      <c r="C26" s="258"/>
      <c r="D26" s="259"/>
      <c r="E26" s="315">
        <f>SUM(E21:E25)</f>
        <v>719</v>
      </c>
      <c r="G26" s="5"/>
    </row>
    <row r="27" spans="1:7" ht="14.1" customHeight="1" x14ac:dyDescent="0.25">
      <c r="A27" s="301" t="s">
        <v>768</v>
      </c>
      <c r="B27" s="258"/>
      <c r="C27" s="258"/>
      <c r="D27" s="258"/>
      <c r="E27" s="261"/>
      <c r="G27" s="5"/>
    </row>
    <row r="28" spans="1:7" s="7" customFormat="1" ht="14.1" customHeight="1" x14ac:dyDescent="0.25">
      <c r="A28" s="65" t="str">
        <f>A3</f>
        <v>Item</v>
      </c>
      <c r="B28" s="298" t="str">
        <f>B3</f>
        <v>Personnel</v>
      </c>
      <c r="C28" s="298" t="str">
        <f>C3</f>
        <v>Quantity</v>
      </c>
      <c r="D28" s="298" t="str">
        <f>D3</f>
        <v xml:space="preserve">Cost </v>
      </c>
      <c r="E28" s="299" t="str">
        <f>E3</f>
        <v>Total</v>
      </c>
      <c r="F28"/>
    </row>
    <row r="29" spans="1:7" ht="14.1" customHeight="1" x14ac:dyDescent="0.25">
      <c r="A29" s="260" t="str">
        <f>A7</f>
        <v>Golf Shirt</v>
      </c>
      <c r="B29" s="258">
        <v>2</v>
      </c>
      <c r="C29" s="258">
        <v>3</v>
      </c>
      <c r="D29" s="300">
        <f>D7</f>
        <v>56</v>
      </c>
      <c r="E29" s="312">
        <f>B29*C29*D29</f>
        <v>336</v>
      </c>
      <c r="G29" s="5"/>
    </row>
    <row r="30" spans="1:7" ht="14.1" customHeight="1" x14ac:dyDescent="0.25">
      <c r="A30" s="301"/>
      <c r="B30" s="258"/>
      <c r="C30" s="258"/>
      <c r="D30" s="259"/>
      <c r="E30" s="316">
        <f>SUM(E29)</f>
        <v>336</v>
      </c>
      <c r="G30" s="5"/>
    </row>
    <row r="31" spans="1:7" ht="14.1" customHeight="1" x14ac:dyDescent="0.25">
      <c r="A31" s="301" t="s">
        <v>132</v>
      </c>
      <c r="B31" s="258"/>
      <c r="C31" s="258"/>
      <c r="D31" s="258"/>
      <c r="E31" s="261"/>
      <c r="G31" s="5"/>
    </row>
    <row r="32" spans="1:7" s="7" customFormat="1" ht="14.1" customHeight="1" x14ac:dyDescent="0.25">
      <c r="A32" s="27" t="str">
        <f>A3</f>
        <v>Item</v>
      </c>
      <c r="B32" s="298" t="str">
        <f>B3</f>
        <v>Personnel</v>
      </c>
      <c r="C32" s="298" t="str">
        <f>C3</f>
        <v>Quantity</v>
      </c>
      <c r="D32" s="298" t="str">
        <f>D3</f>
        <v xml:space="preserve">Cost </v>
      </c>
      <c r="E32" s="299" t="str">
        <f>E3</f>
        <v>Total</v>
      </c>
      <c r="F32"/>
    </row>
    <row r="33" spans="1:7" ht="14.1" customHeight="1" x14ac:dyDescent="0.25">
      <c r="A33" s="260" t="str">
        <f>A4</f>
        <v>Nomex Shirt</v>
      </c>
      <c r="B33" s="258">
        <v>2</v>
      </c>
      <c r="C33" s="258">
        <v>0.5</v>
      </c>
      <c r="D33" s="300">
        <f>D4</f>
        <v>98.5</v>
      </c>
      <c r="E33" s="312">
        <f>B33*C33*D33</f>
        <v>98.5</v>
      </c>
      <c r="G33" s="5"/>
    </row>
    <row r="34" spans="1:7" ht="14.1" customHeight="1" x14ac:dyDescent="0.25">
      <c r="A34" s="260" t="str">
        <f>A6</f>
        <v>T-Shirt</v>
      </c>
      <c r="B34" s="258">
        <f>B33</f>
        <v>2</v>
      </c>
      <c r="C34" s="258">
        <v>2</v>
      </c>
      <c r="D34" s="300">
        <f>D6</f>
        <v>12</v>
      </c>
      <c r="E34" s="312">
        <f>B34*C34*D34</f>
        <v>48</v>
      </c>
      <c r="G34" s="5"/>
    </row>
    <row r="35" spans="1:7" ht="14.1" customHeight="1" x14ac:dyDescent="0.25">
      <c r="A35" s="260" t="str">
        <f>A7</f>
        <v>Golf Shirt</v>
      </c>
      <c r="B35" s="258">
        <f>B33</f>
        <v>2</v>
      </c>
      <c r="C35" s="258">
        <v>1</v>
      </c>
      <c r="D35" s="300">
        <f>D7</f>
        <v>56</v>
      </c>
      <c r="E35" s="312">
        <f>B35*C35*D35</f>
        <v>112</v>
      </c>
      <c r="G35" s="5"/>
    </row>
    <row r="36" spans="1:7" ht="14.1" customHeight="1" x14ac:dyDescent="0.25">
      <c r="A36" s="260" t="str">
        <f>A8</f>
        <v>EMT Pants</v>
      </c>
      <c r="B36" s="258">
        <f>B33</f>
        <v>2</v>
      </c>
      <c r="C36" s="258">
        <v>1</v>
      </c>
      <c r="D36" s="300">
        <f>D8</f>
        <v>64.5</v>
      </c>
      <c r="E36" s="312">
        <f>B36*C36*D36</f>
        <v>129</v>
      </c>
      <c r="G36" s="5"/>
    </row>
    <row r="37" spans="1:7" ht="18" customHeight="1" x14ac:dyDescent="0.25">
      <c r="A37" s="301"/>
      <c r="B37" s="258"/>
      <c r="C37" s="258"/>
      <c r="D37" s="300"/>
      <c r="E37" s="317">
        <f>SUM(E33:E36)</f>
        <v>387.5</v>
      </c>
      <c r="G37" s="5"/>
    </row>
    <row r="38" spans="1:7" ht="14.1" customHeight="1" x14ac:dyDescent="0.25">
      <c r="A38" s="301" t="s">
        <v>143</v>
      </c>
      <c r="B38" s="258"/>
      <c r="C38" s="258"/>
      <c r="D38" s="302"/>
      <c r="E38" s="318"/>
      <c r="G38" s="5"/>
    </row>
    <row r="39" spans="1:7" ht="14.1" customHeight="1" x14ac:dyDescent="0.25">
      <c r="A39" s="27" t="str">
        <f>A3</f>
        <v>Item</v>
      </c>
      <c r="B39" s="298"/>
      <c r="C39" s="298" t="str">
        <f>C3</f>
        <v>Quantity</v>
      </c>
      <c r="D39" s="298" t="str">
        <f>D3</f>
        <v xml:space="preserve">Cost </v>
      </c>
      <c r="E39" s="299" t="str">
        <f>E3</f>
        <v>Total</v>
      </c>
      <c r="G39" s="5"/>
    </row>
    <row r="40" spans="1:7" ht="14.1" customHeight="1" x14ac:dyDescent="0.25">
      <c r="A40" s="260" t="s">
        <v>134</v>
      </c>
      <c r="B40" s="258"/>
      <c r="C40" s="258">
        <v>0</v>
      </c>
      <c r="D40" s="300">
        <v>120</v>
      </c>
      <c r="E40" s="500">
        <f>C40*D40</f>
        <v>0</v>
      </c>
      <c r="F40" s="245"/>
      <c r="G40" s="5"/>
    </row>
    <row r="41" spans="1:7" ht="14.1" customHeight="1" x14ac:dyDescent="0.25">
      <c r="A41" s="260" t="s">
        <v>8</v>
      </c>
      <c r="B41" s="258"/>
      <c r="C41" s="258">
        <v>500</v>
      </c>
      <c r="D41" s="300"/>
      <c r="E41" s="500">
        <f t="shared" ref="E41:E49" si="1">C41*D41</f>
        <v>0</v>
      </c>
      <c r="G41" s="5"/>
    </row>
    <row r="42" spans="1:7" ht="14.1" customHeight="1" x14ac:dyDescent="0.25">
      <c r="A42" s="260" t="s">
        <v>147</v>
      </c>
      <c r="B42" s="258"/>
      <c r="C42" s="258">
        <v>4</v>
      </c>
      <c r="D42" s="300">
        <f>12.2</f>
        <v>12.2</v>
      </c>
      <c r="E42" s="500">
        <f t="shared" si="1"/>
        <v>48.8</v>
      </c>
      <c r="G42" s="5"/>
    </row>
    <row r="43" spans="1:7" ht="14.1" customHeight="1" x14ac:dyDescent="0.25">
      <c r="A43" s="303" t="s">
        <v>144</v>
      </c>
      <c r="B43" s="304"/>
      <c r="C43" s="304">
        <v>0</v>
      </c>
      <c r="D43" s="305">
        <f>6.95</f>
        <v>6.95</v>
      </c>
      <c r="E43" s="500">
        <f t="shared" si="1"/>
        <v>0</v>
      </c>
      <c r="G43" s="5"/>
    </row>
    <row r="44" spans="1:7" ht="14.1" customHeight="1" x14ac:dyDescent="0.25">
      <c r="A44" s="303" t="s">
        <v>145</v>
      </c>
      <c r="B44" s="304"/>
      <c r="C44" s="304">
        <v>10</v>
      </c>
      <c r="D44" s="305">
        <f>21.2</f>
        <v>21.2</v>
      </c>
      <c r="E44" s="500">
        <f t="shared" si="1"/>
        <v>212</v>
      </c>
      <c r="G44" s="5"/>
    </row>
    <row r="45" spans="1:7" ht="14.1" customHeight="1" x14ac:dyDescent="0.25">
      <c r="A45" s="303" t="s">
        <v>133</v>
      </c>
      <c r="B45" s="304"/>
      <c r="C45" s="304">
        <v>6</v>
      </c>
      <c r="D45" s="305">
        <f>295+18+10+10</f>
        <v>333</v>
      </c>
      <c r="E45" s="500">
        <f t="shared" si="1"/>
        <v>1998</v>
      </c>
      <c r="G45" s="5"/>
    </row>
    <row r="46" spans="1:7" ht="14.1" customHeight="1" x14ac:dyDescent="0.25">
      <c r="A46" s="303" t="s">
        <v>146</v>
      </c>
      <c r="B46" s="304"/>
      <c r="C46" s="304">
        <v>5</v>
      </c>
      <c r="D46" s="305">
        <v>10</v>
      </c>
      <c r="E46" s="500">
        <f t="shared" si="1"/>
        <v>50</v>
      </c>
      <c r="G46" s="5"/>
    </row>
    <row r="47" spans="1:7" ht="13.5" customHeight="1" x14ac:dyDescent="0.25">
      <c r="A47" s="260" t="s">
        <v>9</v>
      </c>
      <c r="B47" s="258"/>
      <c r="C47" s="258">
        <v>40</v>
      </c>
      <c r="D47" s="259">
        <v>14</v>
      </c>
      <c r="E47" s="500">
        <f t="shared" si="1"/>
        <v>560</v>
      </c>
      <c r="G47" s="5"/>
    </row>
    <row r="48" spans="1:7" ht="13.5" customHeight="1" x14ac:dyDescent="0.25">
      <c r="A48" s="260" t="s">
        <v>384</v>
      </c>
      <c r="B48" s="258"/>
      <c r="C48" s="258">
        <v>40</v>
      </c>
      <c r="D48" s="259">
        <v>30</v>
      </c>
      <c r="E48" s="500">
        <f t="shared" si="1"/>
        <v>1200</v>
      </c>
      <c r="G48" s="5"/>
    </row>
    <row r="49" spans="1:7" ht="13.5" customHeight="1" x14ac:dyDescent="0.25">
      <c r="A49" s="957" t="s">
        <v>677</v>
      </c>
      <c r="B49" s="307"/>
      <c r="C49" s="307">
        <v>40</v>
      </c>
      <c r="D49" s="308">
        <v>32</v>
      </c>
      <c r="E49" s="958">
        <f t="shared" si="1"/>
        <v>1280</v>
      </c>
      <c r="G49" s="5"/>
    </row>
    <row r="50" spans="1:7" ht="13.5" customHeight="1" x14ac:dyDescent="0.25">
      <c r="A50" s="306"/>
      <c r="B50" s="307"/>
      <c r="C50" s="307"/>
      <c r="D50" s="308"/>
      <c r="E50" s="319">
        <f>SUM(E40:E49)</f>
        <v>5348.8</v>
      </c>
      <c r="G50" s="5"/>
    </row>
    <row r="51" spans="1:7" ht="13.5" customHeight="1" x14ac:dyDescent="0.25">
      <c r="A51" s="306"/>
      <c r="B51" s="307"/>
      <c r="C51" s="307"/>
      <c r="D51" s="308"/>
      <c r="E51" s="319"/>
      <c r="G51" s="5"/>
    </row>
    <row r="52" spans="1:7" ht="30" customHeight="1" x14ac:dyDescent="0.25">
      <c r="A52" s="309" t="s">
        <v>105</v>
      </c>
      <c r="B52" s="310"/>
      <c r="C52" s="310"/>
      <c r="D52" s="262"/>
      <c r="E52" s="311">
        <f>E10+E18+E26+E30+E37+E50+E51</f>
        <v>19232.3</v>
      </c>
      <c r="G52" s="5"/>
    </row>
    <row r="53" spans="1:7" ht="18.75" customHeight="1" x14ac:dyDescent="0.2">
      <c r="A53" s="12"/>
      <c r="B53" s="12"/>
      <c r="C53" s="12"/>
      <c r="D53" s="12"/>
      <c r="E53" s="12"/>
      <c r="G53" s="5"/>
    </row>
    <row r="54" spans="1:7" ht="18.75" customHeight="1" x14ac:dyDescent="0.2">
      <c r="A54" s="12"/>
      <c r="B54" s="12"/>
      <c r="C54" s="12"/>
      <c r="D54" s="12"/>
      <c r="E54" s="12"/>
      <c r="G54" s="5"/>
    </row>
    <row r="55" spans="1:7" ht="18.75" customHeight="1" x14ac:dyDescent="0.2">
      <c r="A55" s="12"/>
      <c r="B55" s="12"/>
      <c r="C55" s="12"/>
      <c r="D55" s="12"/>
      <c r="E55" s="12"/>
      <c r="G55" s="5"/>
    </row>
    <row r="56" spans="1:7" ht="18.75" customHeight="1" x14ac:dyDescent="0.2">
      <c r="A56" s="12"/>
      <c r="B56" s="12"/>
      <c r="C56" s="12"/>
      <c r="D56" s="12"/>
      <c r="E56" s="12"/>
      <c r="G56" s="5"/>
    </row>
    <row r="57" spans="1:7" ht="18.75" customHeight="1" x14ac:dyDescent="0.2">
      <c r="A57" s="12"/>
      <c r="B57" s="12"/>
      <c r="C57" s="12"/>
      <c r="D57" s="12"/>
      <c r="E57" s="12"/>
      <c r="G57" s="5"/>
    </row>
    <row r="58" spans="1:7" ht="18.75" customHeight="1" x14ac:dyDescent="0.2">
      <c r="A58" s="12"/>
      <c r="B58" s="12"/>
      <c r="C58" s="12"/>
      <c r="D58" s="12"/>
      <c r="E58" s="12"/>
      <c r="G58" s="5"/>
    </row>
    <row r="59" spans="1:7" ht="18.75" customHeight="1" x14ac:dyDescent="0.2">
      <c r="A59" s="12"/>
      <c r="B59" s="12"/>
      <c r="C59" s="12"/>
      <c r="D59" s="12"/>
      <c r="E59" s="12"/>
      <c r="G59" s="5"/>
    </row>
    <row r="60" spans="1:7" ht="18.75" customHeight="1" x14ac:dyDescent="0.2">
      <c r="A60" s="12"/>
      <c r="B60" s="12"/>
      <c r="C60" s="12"/>
      <c r="D60" s="12"/>
      <c r="E60" s="12"/>
      <c r="G60" s="5"/>
    </row>
    <row r="61" spans="1:7" ht="18.75" customHeight="1" x14ac:dyDescent="0.2">
      <c r="A61" s="12"/>
      <c r="B61" s="12"/>
      <c r="C61" s="12"/>
      <c r="D61" s="12"/>
      <c r="E61" s="12"/>
      <c r="G61" s="5"/>
    </row>
    <row r="62" spans="1:7" ht="18.75" customHeight="1" x14ac:dyDescent="0.2">
      <c r="A62" s="12"/>
      <c r="B62" s="12"/>
      <c r="C62" s="12"/>
      <c r="D62" s="12"/>
      <c r="E62" s="12"/>
      <c r="G62" s="5"/>
    </row>
    <row r="63" spans="1:7" ht="18.75" customHeight="1" x14ac:dyDescent="0.2">
      <c r="A63" s="12"/>
      <c r="B63" s="12"/>
      <c r="C63" s="12"/>
      <c r="D63" s="12"/>
      <c r="E63" s="12"/>
      <c r="G63" s="5"/>
    </row>
    <row r="64" spans="1:7" ht="18.75" customHeight="1" x14ac:dyDescent="0.2">
      <c r="A64" s="12"/>
      <c r="B64" s="12"/>
      <c r="C64" s="12"/>
      <c r="D64" s="12"/>
      <c r="E64" s="12"/>
      <c r="G64" s="12"/>
    </row>
    <row r="65" spans="1:7" ht="18.75" customHeight="1" x14ac:dyDescent="0.2">
      <c r="A65" s="12"/>
      <c r="B65" s="12"/>
      <c r="C65" s="12"/>
      <c r="D65" s="12"/>
      <c r="E65" s="12"/>
      <c r="G65" s="12"/>
    </row>
    <row r="66" spans="1:7" ht="18.75" customHeight="1" x14ac:dyDescent="0.2">
      <c r="A66" s="12"/>
      <c r="B66" s="12"/>
      <c r="C66" s="12"/>
      <c r="D66" s="12"/>
      <c r="E66" s="12"/>
      <c r="G66" s="12"/>
    </row>
    <row r="67" spans="1:7" ht="18.75" customHeight="1" x14ac:dyDescent="0.2">
      <c r="A67" s="12"/>
      <c r="B67" s="12"/>
      <c r="C67" s="12"/>
      <c r="D67" s="12"/>
      <c r="E67" s="12"/>
      <c r="G67" s="12"/>
    </row>
    <row r="68" spans="1:7" ht="18.75" customHeight="1" x14ac:dyDescent="0.2">
      <c r="A68" s="12"/>
      <c r="B68" s="12"/>
      <c r="C68" s="12"/>
      <c r="D68" s="12"/>
      <c r="E68" s="12"/>
      <c r="G68" s="12"/>
    </row>
    <row r="69" spans="1:7" ht="18.75" customHeight="1" x14ac:dyDescent="0.2">
      <c r="A69" s="12"/>
      <c r="B69" s="12"/>
      <c r="C69" s="12"/>
      <c r="D69" s="12"/>
      <c r="E69" s="12"/>
      <c r="G69" s="12"/>
    </row>
    <row r="70" spans="1:7" ht="18.75" customHeight="1" x14ac:dyDescent="0.2">
      <c r="A70" s="12"/>
      <c r="B70" s="12"/>
      <c r="C70" s="12"/>
      <c r="D70" s="12"/>
      <c r="E70" s="12"/>
      <c r="G70" s="12"/>
    </row>
    <row r="71" spans="1:7" ht="18.75" customHeight="1" x14ac:dyDescent="0.2">
      <c r="A71" s="12"/>
      <c r="B71" s="12"/>
      <c r="C71" s="12"/>
      <c r="D71" s="12"/>
      <c r="E71" s="12"/>
      <c r="G71" s="12"/>
    </row>
    <row r="72" spans="1:7" ht="18.75" customHeight="1" x14ac:dyDescent="0.2">
      <c r="A72" s="12"/>
      <c r="B72" s="12"/>
      <c r="C72" s="12"/>
      <c r="D72" s="12"/>
      <c r="E72" s="12"/>
      <c r="G72" s="12"/>
    </row>
    <row r="73" spans="1:7" ht="18.75" customHeight="1" x14ac:dyDescent="0.2">
      <c r="A73" s="12"/>
      <c r="B73" s="12"/>
      <c r="C73" s="12"/>
      <c r="D73" s="12"/>
      <c r="E73" s="12"/>
      <c r="G73" s="12"/>
    </row>
    <row r="74" spans="1:7" ht="18.75" customHeight="1" x14ac:dyDescent="0.2">
      <c r="A74" s="12"/>
      <c r="B74" s="12"/>
      <c r="C74" s="12"/>
      <c r="D74" s="12"/>
      <c r="E74" s="12"/>
      <c r="G74" s="12"/>
    </row>
    <row r="75" spans="1:7" ht="18.75" customHeight="1" x14ac:dyDescent="0.2">
      <c r="A75" s="12"/>
      <c r="B75" s="12"/>
      <c r="C75" s="12"/>
      <c r="D75" s="12"/>
      <c r="E75" s="12"/>
      <c r="G75" s="12"/>
    </row>
    <row r="76" spans="1:7" ht="18.75" customHeight="1" x14ac:dyDescent="0.2">
      <c r="A76" s="12"/>
      <c r="B76" s="12"/>
      <c r="C76" s="12"/>
      <c r="D76" s="12"/>
      <c r="E76" s="12"/>
      <c r="G76" s="12"/>
    </row>
    <row r="77" spans="1:7" ht="18.75" customHeight="1" x14ac:dyDescent="0.2">
      <c r="A77" s="12"/>
      <c r="B77" s="12"/>
      <c r="C77" s="12"/>
      <c r="D77" s="12"/>
      <c r="E77" s="12"/>
      <c r="G77" s="12"/>
    </row>
    <row r="78" spans="1:7" ht="18.75" customHeight="1" x14ac:dyDescent="0.2">
      <c r="A78" s="12"/>
      <c r="B78" s="12"/>
      <c r="C78" s="12"/>
      <c r="D78" s="12"/>
      <c r="E78" s="12"/>
      <c r="G78" s="12"/>
    </row>
    <row r="79" spans="1:7" ht="18.75" customHeight="1" x14ac:dyDescent="0.2">
      <c r="A79" s="12"/>
      <c r="B79" s="12"/>
      <c r="C79" s="12"/>
      <c r="D79" s="12"/>
      <c r="E79" s="12"/>
      <c r="G79" s="12"/>
    </row>
    <row r="80" spans="1:7" ht="18.75" customHeight="1" x14ac:dyDescent="0.2">
      <c r="A80" s="12"/>
      <c r="B80" s="12"/>
      <c r="C80" s="12"/>
      <c r="D80" s="12"/>
      <c r="E80" s="12"/>
      <c r="G80" s="12"/>
    </row>
    <row r="81" spans="1:7" ht="18.75" customHeight="1" x14ac:dyDescent="0.2">
      <c r="A81" s="12"/>
      <c r="B81" s="12"/>
      <c r="C81" s="12"/>
      <c r="D81" s="12"/>
      <c r="E81" s="12"/>
      <c r="G81" s="12"/>
    </row>
    <row r="82" spans="1:7" ht="18.75" customHeight="1" x14ac:dyDescent="0.2">
      <c r="A82" s="12"/>
      <c r="B82" s="12"/>
      <c r="C82" s="12"/>
      <c r="D82" s="12"/>
      <c r="E82" s="12"/>
      <c r="G82" s="12"/>
    </row>
    <row r="83" spans="1:7" ht="18.75" customHeight="1" x14ac:dyDescent="0.2">
      <c r="A83" s="12"/>
      <c r="B83" s="12"/>
      <c r="C83" s="12"/>
      <c r="D83" s="12"/>
      <c r="E83" s="12"/>
      <c r="G83" s="12"/>
    </row>
    <row r="84" spans="1:7" ht="18.75" customHeight="1" x14ac:dyDescent="0.2">
      <c r="A84" s="12"/>
      <c r="B84" s="12"/>
      <c r="C84" s="12"/>
      <c r="D84" s="12"/>
      <c r="E84" s="12"/>
      <c r="G84" s="12"/>
    </row>
    <row r="85" spans="1:7" ht="18.75" customHeight="1" x14ac:dyDescent="0.2">
      <c r="A85" s="12"/>
      <c r="B85" s="12"/>
      <c r="C85" s="12"/>
      <c r="D85" s="12"/>
      <c r="E85" s="12"/>
      <c r="G85" s="12"/>
    </row>
    <row r="86" spans="1:7" ht="18.75" customHeight="1" x14ac:dyDescent="0.2">
      <c r="C86" s="5"/>
      <c r="D86" s="5"/>
      <c r="G86" s="5"/>
    </row>
    <row r="87" spans="1:7" ht="18.75" customHeight="1" x14ac:dyDescent="0.2">
      <c r="C87" s="5"/>
      <c r="D87" s="5"/>
      <c r="G87" s="5"/>
    </row>
    <row r="88" spans="1:7" ht="18.75" customHeight="1" x14ac:dyDescent="0.2">
      <c r="C88" s="5"/>
      <c r="D88" s="5"/>
      <c r="G88" s="5"/>
    </row>
    <row r="89" spans="1:7" ht="18.75" customHeight="1" x14ac:dyDescent="0.2">
      <c r="C89" s="5"/>
      <c r="D89" s="5"/>
      <c r="G89" s="5"/>
    </row>
    <row r="90" spans="1:7" ht="18.75" customHeight="1" x14ac:dyDescent="0.2">
      <c r="C90" s="5"/>
      <c r="D90" s="5"/>
      <c r="G90" s="5"/>
    </row>
    <row r="91" spans="1:7" ht="18.75" customHeight="1" x14ac:dyDescent="0.2">
      <c r="C91" s="5"/>
      <c r="D91" s="5"/>
      <c r="G91" s="5"/>
    </row>
    <row r="92" spans="1:7" ht="18.75" customHeight="1" x14ac:dyDescent="0.2">
      <c r="C92" s="5"/>
      <c r="D92" s="5"/>
      <c r="G92" s="5"/>
    </row>
    <row r="93" spans="1:7" ht="18.75" customHeight="1" x14ac:dyDescent="0.2">
      <c r="C93" s="5"/>
      <c r="D93" s="5"/>
      <c r="G93" s="5"/>
    </row>
    <row r="94" spans="1:7" ht="18.75" customHeight="1" x14ac:dyDescent="0.2">
      <c r="C94" s="5"/>
      <c r="D94" s="5"/>
      <c r="G94" s="5"/>
    </row>
    <row r="95" spans="1:7" ht="18.75" customHeight="1" x14ac:dyDescent="0.2">
      <c r="C95" s="5"/>
      <c r="D95" s="5"/>
      <c r="G95" s="5"/>
    </row>
    <row r="96" spans="1:7" ht="18.75" customHeight="1" x14ac:dyDescent="0.2">
      <c r="C96" s="5"/>
      <c r="D96" s="5"/>
      <c r="G96" s="5"/>
    </row>
    <row r="97" spans="3:7" ht="18.75" customHeight="1" x14ac:dyDescent="0.2">
      <c r="C97" s="5"/>
      <c r="D97" s="5"/>
      <c r="G97" s="5"/>
    </row>
    <row r="98" spans="3:7" ht="18.75" customHeight="1" x14ac:dyDescent="0.2">
      <c r="C98" s="5"/>
      <c r="D98" s="5"/>
      <c r="G98" s="5"/>
    </row>
    <row r="99" spans="3:7" ht="18.75" customHeight="1" x14ac:dyDescent="0.2">
      <c r="C99" s="5"/>
      <c r="D99" s="5"/>
      <c r="G99" s="5"/>
    </row>
    <row r="100" spans="3:7" ht="18.75" customHeight="1" x14ac:dyDescent="0.2">
      <c r="C100" s="5"/>
      <c r="D100" s="5"/>
      <c r="G100" s="5"/>
    </row>
    <row r="101" spans="3:7" ht="18.75" customHeight="1" x14ac:dyDescent="0.2">
      <c r="C101" s="5"/>
      <c r="D101" s="5"/>
      <c r="G101" s="5"/>
    </row>
    <row r="102" spans="3:7" ht="18.75" customHeight="1" x14ac:dyDescent="0.2">
      <c r="C102" s="5"/>
      <c r="D102" s="5"/>
      <c r="G102" s="5"/>
    </row>
    <row r="103" spans="3:7" ht="18.75" customHeight="1" x14ac:dyDescent="0.2">
      <c r="C103" s="5"/>
      <c r="D103" s="5"/>
      <c r="G103" s="5"/>
    </row>
    <row r="104" spans="3:7" ht="18.75" customHeight="1" x14ac:dyDescent="0.2">
      <c r="C104" s="5"/>
      <c r="D104" s="5"/>
      <c r="G104" s="5"/>
    </row>
    <row r="105" spans="3:7" ht="18.75" customHeight="1" x14ac:dyDescent="0.2">
      <c r="C105" s="5"/>
      <c r="D105" s="5"/>
      <c r="G105" s="5"/>
    </row>
    <row r="106" spans="3:7" ht="18.75" customHeight="1" x14ac:dyDescent="0.2">
      <c r="C106" s="5"/>
      <c r="D106" s="5"/>
      <c r="G106" s="5"/>
    </row>
    <row r="107" spans="3:7" ht="18.75" customHeight="1" x14ac:dyDescent="0.2">
      <c r="C107" s="5"/>
      <c r="D107" s="5"/>
      <c r="G107" s="5"/>
    </row>
    <row r="108" spans="3:7" ht="18.75" customHeight="1" x14ac:dyDescent="0.2">
      <c r="C108" s="5"/>
      <c r="D108" s="5"/>
      <c r="G108" s="5"/>
    </row>
    <row r="109" spans="3:7" ht="18.75" customHeight="1" x14ac:dyDescent="0.2">
      <c r="C109" s="5"/>
      <c r="D109" s="5"/>
      <c r="G109" s="5"/>
    </row>
    <row r="110" spans="3:7" ht="18.75" customHeight="1" x14ac:dyDescent="0.2">
      <c r="C110" s="5"/>
      <c r="D110" s="5"/>
      <c r="G110" s="5"/>
    </row>
    <row r="111" spans="3:7" ht="18.75" customHeight="1" x14ac:dyDescent="0.2">
      <c r="C111" s="5"/>
      <c r="D111" s="5"/>
      <c r="G111" s="5"/>
    </row>
    <row r="112" spans="3:7" ht="18.75" customHeight="1" x14ac:dyDescent="0.2">
      <c r="C112" s="5"/>
      <c r="D112" s="5"/>
      <c r="G112" s="5"/>
    </row>
    <row r="113" spans="3:7" ht="18.75" customHeight="1" x14ac:dyDescent="0.2">
      <c r="C113" s="5"/>
      <c r="D113" s="5"/>
      <c r="G113" s="5"/>
    </row>
    <row r="114" spans="3:7" ht="18.75" customHeight="1" x14ac:dyDescent="0.2">
      <c r="C114" s="5"/>
      <c r="D114" s="5"/>
      <c r="G114" s="5"/>
    </row>
    <row r="115" spans="3:7" ht="18.75" customHeight="1" x14ac:dyDescent="0.2">
      <c r="C115" s="5"/>
      <c r="D115" s="5"/>
      <c r="G115" s="5"/>
    </row>
    <row r="116" spans="3:7" ht="18.75" customHeight="1" x14ac:dyDescent="0.2">
      <c r="C116" s="5"/>
      <c r="D116" s="5"/>
      <c r="G116" s="5"/>
    </row>
    <row r="117" spans="3:7" ht="18.75" customHeight="1" x14ac:dyDescent="0.2">
      <c r="C117" s="5"/>
      <c r="D117" s="5"/>
      <c r="G117" s="5"/>
    </row>
    <row r="118" spans="3:7" ht="18.75" customHeight="1" x14ac:dyDescent="0.2">
      <c r="C118" s="5"/>
      <c r="D118" s="5"/>
      <c r="G118" s="5"/>
    </row>
    <row r="119" spans="3:7" ht="18.75" customHeight="1" x14ac:dyDescent="0.2">
      <c r="C119" s="5"/>
      <c r="D119" s="5"/>
      <c r="G119" s="5"/>
    </row>
    <row r="120" spans="3:7" ht="18.75" customHeight="1" x14ac:dyDescent="0.2">
      <c r="C120" s="5"/>
      <c r="D120" s="5"/>
      <c r="G120" s="5"/>
    </row>
    <row r="121" spans="3:7" ht="18.75" customHeight="1" x14ac:dyDescent="0.2">
      <c r="C121" s="5"/>
      <c r="D121" s="5"/>
      <c r="G121" s="5"/>
    </row>
    <row r="122" spans="3:7" ht="18.75" customHeight="1" x14ac:dyDescent="0.2">
      <c r="C122" s="5"/>
      <c r="D122" s="5"/>
      <c r="G122" s="5"/>
    </row>
    <row r="123" spans="3:7" ht="18.75" customHeight="1" x14ac:dyDescent="0.2">
      <c r="C123" s="5"/>
      <c r="D123" s="5"/>
      <c r="G123" s="5"/>
    </row>
    <row r="124" spans="3:7" ht="18.75" customHeight="1" x14ac:dyDescent="0.2">
      <c r="C124" s="5"/>
      <c r="D124" s="5"/>
      <c r="G124" s="5"/>
    </row>
    <row r="125" spans="3:7" ht="18.75" customHeight="1" x14ac:dyDescent="0.2">
      <c r="C125" s="5"/>
      <c r="D125" s="5"/>
      <c r="G125" s="5"/>
    </row>
    <row r="126" spans="3:7" ht="18.75" customHeight="1" x14ac:dyDescent="0.2">
      <c r="C126" s="5"/>
      <c r="D126" s="5"/>
      <c r="G126" s="5"/>
    </row>
    <row r="127" spans="3:7" ht="18.75" customHeight="1" x14ac:dyDescent="0.2">
      <c r="C127" s="5"/>
      <c r="D127" s="5"/>
      <c r="G127" s="5"/>
    </row>
    <row r="128" spans="3:7" ht="18.75" customHeight="1" x14ac:dyDescent="0.2">
      <c r="C128" s="5"/>
      <c r="D128" s="5"/>
      <c r="G128" s="5"/>
    </row>
    <row r="129" spans="3:7" ht="18.75" customHeight="1" x14ac:dyDescent="0.2">
      <c r="C129" s="5"/>
      <c r="D129" s="5"/>
      <c r="G129" s="5"/>
    </row>
    <row r="130" spans="3:7" ht="18.75" customHeight="1" x14ac:dyDescent="0.2">
      <c r="C130" s="5"/>
      <c r="D130" s="5"/>
      <c r="G130" s="5"/>
    </row>
    <row r="131" spans="3:7" ht="18.75" customHeight="1" x14ac:dyDescent="0.2">
      <c r="C131" s="5"/>
      <c r="D131" s="5"/>
      <c r="G131" s="5"/>
    </row>
    <row r="132" spans="3:7" ht="18.75" customHeight="1" x14ac:dyDescent="0.2">
      <c r="C132" s="5"/>
      <c r="D132" s="5"/>
      <c r="G132" s="5"/>
    </row>
    <row r="133" spans="3:7" ht="18.75" customHeight="1" x14ac:dyDescent="0.2">
      <c r="C133" s="5"/>
      <c r="D133" s="5"/>
      <c r="G133" s="5"/>
    </row>
    <row r="134" spans="3:7" ht="18.75" customHeight="1" x14ac:dyDescent="0.2">
      <c r="C134" s="5"/>
      <c r="D134" s="5"/>
      <c r="G134" s="5"/>
    </row>
    <row r="135" spans="3:7" ht="18.75" customHeight="1" x14ac:dyDescent="0.2">
      <c r="C135" s="5"/>
      <c r="D135" s="5"/>
      <c r="G135" s="5"/>
    </row>
    <row r="136" spans="3:7" ht="18.75" customHeight="1" x14ac:dyDescent="0.2">
      <c r="C136" s="5"/>
      <c r="D136" s="5"/>
      <c r="G136" s="5"/>
    </row>
    <row r="137" spans="3:7" ht="18.75" customHeight="1" x14ac:dyDescent="0.2">
      <c r="C137" s="5"/>
      <c r="D137" s="5"/>
      <c r="G137" s="5"/>
    </row>
    <row r="138" spans="3:7" ht="18.75" customHeight="1" x14ac:dyDescent="0.2">
      <c r="C138" s="5"/>
      <c r="D138" s="5"/>
      <c r="G138" s="5"/>
    </row>
    <row r="139" spans="3:7" ht="18.75" customHeight="1" x14ac:dyDescent="0.2">
      <c r="C139" s="5"/>
      <c r="D139" s="5"/>
      <c r="G139" s="5"/>
    </row>
    <row r="140" spans="3:7" ht="18.75" customHeight="1" x14ac:dyDescent="0.2">
      <c r="C140" s="5"/>
      <c r="D140" s="5"/>
      <c r="G140" s="5"/>
    </row>
    <row r="141" spans="3:7" ht="18.75" customHeight="1" x14ac:dyDescent="0.2">
      <c r="C141" s="5"/>
      <c r="D141" s="5"/>
      <c r="G141" s="5"/>
    </row>
    <row r="142" spans="3:7" ht="18.75" customHeight="1" x14ac:dyDescent="0.2">
      <c r="C142" s="5"/>
      <c r="D142" s="5"/>
      <c r="G142" s="5"/>
    </row>
    <row r="143" spans="3:7" ht="18.75" customHeight="1" x14ac:dyDescent="0.2">
      <c r="C143" s="5"/>
      <c r="D143" s="5"/>
      <c r="G143" s="5"/>
    </row>
    <row r="144" spans="3:7" ht="18.75" customHeight="1" x14ac:dyDescent="0.2">
      <c r="C144" s="5"/>
      <c r="D144" s="5"/>
      <c r="G144" s="5"/>
    </row>
    <row r="145" spans="3:7" ht="18.75" customHeight="1" x14ac:dyDescent="0.2">
      <c r="C145" s="5"/>
      <c r="D145" s="5"/>
      <c r="G145" s="5"/>
    </row>
    <row r="146" spans="3:7" ht="18.75" customHeight="1" x14ac:dyDescent="0.2">
      <c r="C146" s="5"/>
      <c r="D146" s="5"/>
      <c r="G146" s="5"/>
    </row>
    <row r="147" spans="3:7" ht="18.75" customHeight="1" x14ac:dyDescent="0.2">
      <c r="C147" s="5"/>
      <c r="D147" s="5"/>
      <c r="G147" s="5"/>
    </row>
    <row r="148" spans="3:7" ht="18.75" customHeight="1" x14ac:dyDescent="0.2">
      <c r="C148" s="5"/>
      <c r="D148" s="5"/>
      <c r="G148" s="5"/>
    </row>
    <row r="149" spans="3:7" ht="18.75" customHeight="1" x14ac:dyDescent="0.2">
      <c r="C149" s="5"/>
      <c r="D149" s="5"/>
      <c r="G149" s="5"/>
    </row>
    <row r="150" spans="3:7" ht="18.75" customHeight="1" x14ac:dyDescent="0.2">
      <c r="C150" s="5"/>
      <c r="D150" s="5"/>
      <c r="G150" s="5"/>
    </row>
    <row r="151" spans="3:7" ht="18.75" customHeight="1" x14ac:dyDescent="0.2">
      <c r="C151" s="5"/>
      <c r="D151" s="5"/>
      <c r="G151" s="5"/>
    </row>
    <row r="152" spans="3:7" ht="18.75" customHeight="1" x14ac:dyDescent="0.2">
      <c r="C152" s="5"/>
      <c r="D152" s="5"/>
      <c r="G152" s="5"/>
    </row>
    <row r="153" spans="3:7" ht="18.75" customHeight="1" x14ac:dyDescent="0.2">
      <c r="C153" s="5"/>
      <c r="D153" s="5"/>
      <c r="G153" s="5"/>
    </row>
    <row r="154" spans="3:7" ht="18.75" customHeight="1" x14ac:dyDescent="0.2">
      <c r="C154" s="5"/>
      <c r="D154" s="5"/>
      <c r="G154" s="5"/>
    </row>
    <row r="155" spans="3:7" ht="18.75" customHeight="1" x14ac:dyDescent="0.2">
      <c r="C155" s="5"/>
      <c r="D155" s="5"/>
      <c r="G155" s="5"/>
    </row>
    <row r="156" spans="3:7" ht="18.75" customHeight="1" x14ac:dyDescent="0.2">
      <c r="C156" s="5"/>
      <c r="D156" s="5"/>
      <c r="G156" s="5"/>
    </row>
    <row r="157" spans="3:7" ht="18.75" customHeight="1" x14ac:dyDescent="0.2">
      <c r="C157" s="5"/>
      <c r="D157" s="5"/>
      <c r="G157" s="5"/>
    </row>
    <row r="158" spans="3:7" ht="18.75" customHeight="1" x14ac:dyDescent="0.2">
      <c r="C158" s="5"/>
      <c r="D158" s="5"/>
      <c r="G158" s="5"/>
    </row>
    <row r="159" spans="3:7" ht="18.75" customHeight="1" x14ac:dyDescent="0.2">
      <c r="C159" s="5"/>
      <c r="D159" s="5"/>
      <c r="G159" s="5"/>
    </row>
    <row r="160" spans="3:7" ht="18.75" customHeight="1" x14ac:dyDescent="0.2">
      <c r="C160" s="5"/>
      <c r="D160" s="5"/>
      <c r="G160" s="5"/>
    </row>
    <row r="161" spans="3:7" ht="18.75" customHeight="1" x14ac:dyDescent="0.2">
      <c r="C161" s="5"/>
      <c r="D161" s="5"/>
      <c r="G161" s="5"/>
    </row>
    <row r="162" spans="3:7" ht="18.75" customHeight="1" x14ac:dyDescent="0.2">
      <c r="C162" s="5"/>
      <c r="D162" s="5"/>
      <c r="G162" s="5"/>
    </row>
    <row r="163" spans="3:7" ht="18.75" customHeight="1" x14ac:dyDescent="0.2">
      <c r="C163" s="5"/>
      <c r="D163" s="5"/>
      <c r="G163" s="5"/>
    </row>
    <row r="164" spans="3:7" ht="18.75" customHeight="1" x14ac:dyDescent="0.2">
      <c r="C164" s="5"/>
      <c r="D164" s="5"/>
      <c r="G164" s="5"/>
    </row>
    <row r="165" spans="3:7" ht="18.75" customHeight="1" x14ac:dyDescent="0.2">
      <c r="C165" s="5"/>
      <c r="D165" s="5"/>
      <c r="G165" s="5"/>
    </row>
    <row r="166" spans="3:7" ht="18.75" customHeight="1" x14ac:dyDescent="0.2">
      <c r="C166" s="5"/>
      <c r="D166" s="5"/>
      <c r="G166" s="5"/>
    </row>
    <row r="167" spans="3:7" ht="18.75" customHeight="1" x14ac:dyDescent="0.2">
      <c r="C167" s="5"/>
      <c r="D167" s="5"/>
      <c r="G167" s="5"/>
    </row>
    <row r="168" spans="3:7" ht="18.75" customHeight="1" x14ac:dyDescent="0.2">
      <c r="C168" s="5"/>
      <c r="D168" s="5"/>
      <c r="G168" s="5"/>
    </row>
    <row r="169" spans="3:7" ht="18.75" customHeight="1" x14ac:dyDescent="0.2">
      <c r="C169" s="5"/>
      <c r="D169" s="5"/>
      <c r="G169" s="5"/>
    </row>
    <row r="170" spans="3:7" ht="18.75" customHeight="1" x14ac:dyDescent="0.2">
      <c r="C170" s="5"/>
      <c r="D170" s="5"/>
      <c r="G170" s="5"/>
    </row>
    <row r="171" spans="3:7" ht="18.75" customHeight="1" x14ac:dyDescent="0.2">
      <c r="C171" s="5"/>
      <c r="D171" s="5"/>
      <c r="G171" s="5"/>
    </row>
    <row r="172" spans="3:7" ht="18.75" customHeight="1" x14ac:dyDescent="0.2">
      <c r="C172" s="5"/>
      <c r="D172" s="5"/>
      <c r="G172" s="5"/>
    </row>
    <row r="173" spans="3:7" ht="18.75" customHeight="1" x14ac:dyDescent="0.2">
      <c r="C173" s="5"/>
      <c r="D173" s="5"/>
      <c r="G173" s="5"/>
    </row>
    <row r="174" spans="3:7" ht="18.75" customHeight="1" x14ac:dyDescent="0.2">
      <c r="C174" s="5"/>
      <c r="D174" s="5"/>
      <c r="G174" s="5"/>
    </row>
    <row r="175" spans="3:7" ht="18.75" customHeight="1" x14ac:dyDescent="0.2">
      <c r="C175" s="5"/>
      <c r="D175" s="5"/>
      <c r="G175" s="5"/>
    </row>
    <row r="176" spans="3:7" ht="18.75" customHeight="1" x14ac:dyDescent="0.2">
      <c r="C176" s="5"/>
      <c r="D176" s="5"/>
      <c r="G176" s="5"/>
    </row>
    <row r="177" spans="3:7" ht="18.75" customHeight="1" x14ac:dyDescent="0.2">
      <c r="C177" s="5"/>
      <c r="D177" s="5"/>
      <c r="G177" s="5"/>
    </row>
    <row r="178" spans="3:7" ht="18.75" customHeight="1" x14ac:dyDescent="0.2">
      <c r="C178" s="5"/>
      <c r="D178" s="5"/>
      <c r="G178" s="5"/>
    </row>
    <row r="179" spans="3:7" ht="18.75" customHeight="1" x14ac:dyDescent="0.2">
      <c r="C179" s="5"/>
      <c r="D179" s="5"/>
      <c r="G179" s="5"/>
    </row>
    <row r="180" spans="3:7" ht="18.75" customHeight="1" x14ac:dyDescent="0.2">
      <c r="C180" s="5"/>
      <c r="D180" s="5"/>
      <c r="G180" s="5"/>
    </row>
    <row r="181" spans="3:7" ht="18.75" customHeight="1" x14ac:dyDescent="0.2">
      <c r="C181" s="5"/>
      <c r="D181" s="5"/>
      <c r="G181" s="5"/>
    </row>
    <row r="182" spans="3:7" ht="18.75" customHeight="1" x14ac:dyDescent="0.2">
      <c r="C182" s="5"/>
      <c r="D182" s="5"/>
      <c r="G182" s="5"/>
    </row>
    <row r="183" spans="3:7" ht="18.75" customHeight="1" x14ac:dyDescent="0.2">
      <c r="C183" s="5"/>
      <c r="D183" s="5"/>
      <c r="G183" s="5"/>
    </row>
    <row r="184" spans="3:7" ht="18.75" customHeight="1" x14ac:dyDescent="0.2">
      <c r="C184" s="5"/>
      <c r="D184" s="5"/>
      <c r="G184" s="5"/>
    </row>
  </sheetData>
  <mergeCells count="1">
    <mergeCell ref="A1:E1"/>
  </mergeCells>
  <phoneticPr fontId="20" type="noConversion"/>
  <printOptions horizontalCentered="1"/>
  <pageMargins left="0.75" right="0.75" top="0.75" bottom="0.75" header="0.5" footer="0.5"/>
  <pageSetup scale="90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ColWidth="9.140625" defaultRowHeight="16.5" x14ac:dyDescent="0.3"/>
  <cols>
    <col min="1" max="1" width="40.140625" style="109" bestFit="1" customWidth="1"/>
    <col min="2" max="4" width="10.7109375" style="109" hidden="1" customWidth="1"/>
    <col min="5" max="8" width="11.28515625" style="109" hidden="1" customWidth="1"/>
    <col min="9" max="16384" width="9.140625" style="109"/>
  </cols>
  <sheetData>
    <row r="1" spans="1:11" ht="22.5" customHeight="1" x14ac:dyDescent="0.3">
      <c r="A1" s="551" t="s">
        <v>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x14ac:dyDescent="0.3">
      <c r="A2" s="294"/>
      <c r="B2" s="107">
        <v>2010</v>
      </c>
      <c r="C2" s="107">
        <v>2013</v>
      </c>
      <c r="D2" s="107">
        <v>2014</v>
      </c>
      <c r="E2" s="107">
        <v>2015</v>
      </c>
      <c r="F2" s="107">
        <v>2016</v>
      </c>
      <c r="G2" s="107">
        <v>2017</v>
      </c>
      <c r="H2" s="107">
        <v>2018</v>
      </c>
      <c r="I2" s="107">
        <v>2019</v>
      </c>
      <c r="J2" s="107">
        <v>2020</v>
      </c>
      <c r="K2" s="107">
        <v>2021</v>
      </c>
    </row>
    <row r="3" spans="1:11" x14ac:dyDescent="0.3">
      <c r="A3" s="294"/>
      <c r="B3" s="107"/>
      <c r="C3" s="107"/>
      <c r="D3" s="107"/>
      <c r="E3" s="107"/>
      <c r="F3" s="710"/>
      <c r="G3" s="710"/>
      <c r="H3" s="710"/>
      <c r="I3" s="710"/>
      <c r="J3" s="710"/>
      <c r="K3" s="710"/>
    </row>
    <row r="4" spans="1:11" x14ac:dyDescent="0.3">
      <c r="A4" s="50" t="s">
        <v>680</v>
      </c>
      <c r="B4" s="59">
        <v>200</v>
      </c>
      <c r="C4" s="51">
        <v>100</v>
      </c>
      <c r="D4" s="51">
        <v>100</v>
      </c>
      <c r="E4" s="51">
        <v>100</v>
      </c>
      <c r="F4" s="696">
        <v>100</v>
      </c>
      <c r="G4" s="696">
        <v>100</v>
      </c>
      <c r="H4" s="696">
        <v>100</v>
      </c>
      <c r="I4" s="696">
        <v>200</v>
      </c>
      <c r="J4" s="696">
        <v>200</v>
      </c>
      <c r="K4" s="696">
        <v>200</v>
      </c>
    </row>
    <row r="5" spans="1:11" x14ac:dyDescent="0.3">
      <c r="A5" s="193" t="s">
        <v>265</v>
      </c>
      <c r="B5" s="51">
        <v>4000</v>
      </c>
      <c r="C5" s="103">
        <v>5000</v>
      </c>
      <c r="D5" s="103">
        <v>5400</v>
      </c>
      <c r="E5" s="103">
        <f>5400+1800</f>
        <v>7200</v>
      </c>
      <c r="F5" s="689">
        <f>5400+2000</f>
        <v>7400</v>
      </c>
      <c r="G5" s="689">
        <f>5400+2000</f>
        <v>7400</v>
      </c>
      <c r="H5" s="689">
        <f>5400+4000+2000</f>
        <v>11400</v>
      </c>
      <c r="I5" s="689">
        <f>5400+4000+3000</f>
        <v>12400</v>
      </c>
      <c r="J5" s="689">
        <f>5400+4000+3000</f>
        <v>12400</v>
      </c>
      <c r="K5" s="689">
        <f>5400+4000+3000</f>
        <v>12400</v>
      </c>
    </row>
    <row r="6" spans="1:11" x14ac:dyDescent="0.3">
      <c r="A6" s="50" t="s">
        <v>422</v>
      </c>
      <c r="B6" s="59">
        <v>1500</v>
      </c>
      <c r="C6" s="51">
        <v>400</v>
      </c>
      <c r="D6" s="51">
        <v>400</v>
      </c>
      <c r="E6" s="51">
        <v>400</v>
      </c>
      <c r="F6" s="696">
        <v>600</v>
      </c>
      <c r="G6" s="696">
        <v>800</v>
      </c>
      <c r="H6" s="696">
        <v>800</v>
      </c>
      <c r="I6" s="696">
        <v>500</v>
      </c>
      <c r="J6" s="696">
        <v>500</v>
      </c>
      <c r="K6" s="696">
        <v>500</v>
      </c>
    </row>
    <row r="7" spans="1:11" x14ac:dyDescent="0.3">
      <c r="A7" s="50" t="s">
        <v>681</v>
      </c>
      <c r="B7" s="59">
        <v>600</v>
      </c>
      <c r="C7" s="51">
        <v>300</v>
      </c>
      <c r="D7" s="51">
        <v>300</v>
      </c>
      <c r="E7" s="51">
        <v>350</v>
      </c>
      <c r="F7" s="696">
        <v>400</v>
      </c>
      <c r="G7" s="696">
        <v>400</v>
      </c>
      <c r="H7" s="696">
        <v>400</v>
      </c>
      <c r="I7" s="696">
        <v>300</v>
      </c>
      <c r="J7" s="696">
        <v>300</v>
      </c>
      <c r="K7" s="696">
        <v>300</v>
      </c>
    </row>
    <row r="8" spans="1:11" x14ac:dyDescent="0.3">
      <c r="A8" s="37" t="s">
        <v>682</v>
      </c>
      <c r="B8" s="59">
        <v>800</v>
      </c>
      <c r="C8" s="59">
        <v>800</v>
      </c>
      <c r="D8" s="59">
        <f>8*250</f>
        <v>2000</v>
      </c>
      <c r="E8" s="59">
        <v>2000</v>
      </c>
      <c r="F8" s="697">
        <v>2000</v>
      </c>
      <c r="G8" s="697">
        <v>2000</v>
      </c>
      <c r="H8" s="697">
        <v>2000</v>
      </c>
      <c r="I8" s="697">
        <v>2500</v>
      </c>
      <c r="J8" s="697">
        <v>2500</v>
      </c>
      <c r="K8" s="697">
        <v>2500</v>
      </c>
    </row>
    <row r="9" spans="1:11" x14ac:dyDescent="0.3">
      <c r="A9" s="50" t="s">
        <v>683</v>
      </c>
      <c r="B9" s="59">
        <v>1000</v>
      </c>
      <c r="C9" s="51">
        <v>500</v>
      </c>
      <c r="D9" s="51">
        <v>500</v>
      </c>
      <c r="E9" s="51">
        <v>600</v>
      </c>
      <c r="F9" s="696">
        <v>600</v>
      </c>
      <c r="G9" s="696">
        <v>1200</v>
      </c>
      <c r="H9" s="696">
        <v>1200</v>
      </c>
      <c r="I9" s="696">
        <v>1400</v>
      </c>
      <c r="J9" s="696">
        <f>91*60</f>
        <v>5460</v>
      </c>
      <c r="K9" s="696">
        <f>91*30</f>
        <v>2730</v>
      </c>
    </row>
    <row r="10" spans="1:11" x14ac:dyDescent="0.3">
      <c r="A10" s="37" t="s">
        <v>423</v>
      </c>
      <c r="B10" s="59">
        <v>11000</v>
      </c>
      <c r="C10" s="59">
        <v>10400</v>
      </c>
      <c r="D10" s="59">
        <f>8*1500</f>
        <v>12000</v>
      </c>
      <c r="E10" s="59">
        <f>1478.25*8</f>
        <v>11826</v>
      </c>
      <c r="F10" s="697">
        <f>1500*8</f>
        <v>12000</v>
      </c>
      <c r="G10" s="697">
        <f>1500*35</f>
        <v>52500</v>
      </c>
      <c r="H10" s="697">
        <f>1500*5</f>
        <v>7500</v>
      </c>
      <c r="I10" s="697">
        <f>1600*6</f>
        <v>9600</v>
      </c>
      <c r="J10" s="697">
        <f>1500*6</f>
        <v>9000</v>
      </c>
      <c r="K10" s="697">
        <f>1500*6</f>
        <v>9000</v>
      </c>
    </row>
    <row r="11" spans="1:11" x14ac:dyDescent="0.3">
      <c r="A11" s="50" t="s">
        <v>684</v>
      </c>
      <c r="B11" s="51">
        <v>1200</v>
      </c>
      <c r="C11" s="51">
        <v>1500</v>
      </c>
      <c r="D11" s="51">
        <v>1500</v>
      </c>
      <c r="E11" s="51">
        <v>1500</v>
      </c>
      <c r="F11" s="696">
        <v>1500</v>
      </c>
      <c r="G11" s="696">
        <v>2500</v>
      </c>
      <c r="H11" s="696">
        <v>2500</v>
      </c>
      <c r="I11" s="696">
        <v>2500</v>
      </c>
      <c r="J11" s="696">
        <v>2500</v>
      </c>
      <c r="K11" s="696">
        <v>2500</v>
      </c>
    </row>
    <row r="12" spans="1:11" x14ac:dyDescent="0.3">
      <c r="A12" s="37" t="s">
        <v>424</v>
      </c>
      <c r="B12" s="59">
        <v>11000</v>
      </c>
      <c r="C12" s="59">
        <v>6800</v>
      </c>
      <c r="D12" s="59">
        <f>8*900</f>
        <v>7200</v>
      </c>
      <c r="E12" s="59">
        <f>930.6*8</f>
        <v>7444.8</v>
      </c>
      <c r="F12" s="697">
        <f>950*8</f>
        <v>7600</v>
      </c>
      <c r="G12" s="697">
        <f>900*35</f>
        <v>31500</v>
      </c>
      <c r="H12" s="697">
        <f>900*5</f>
        <v>4500</v>
      </c>
      <c r="I12" s="697">
        <f>1000*6</f>
        <v>6000</v>
      </c>
      <c r="J12" s="697">
        <f>900*6</f>
        <v>5400</v>
      </c>
      <c r="K12" s="697">
        <f>900*6</f>
        <v>5400</v>
      </c>
    </row>
    <row r="13" spans="1:11" x14ac:dyDescent="0.3">
      <c r="A13" s="50" t="s">
        <v>685</v>
      </c>
      <c r="B13" s="59">
        <v>400</v>
      </c>
      <c r="C13" s="51">
        <v>200</v>
      </c>
      <c r="D13" s="51">
        <v>200</v>
      </c>
      <c r="E13" s="51">
        <v>100</v>
      </c>
      <c r="F13" s="696">
        <v>150</v>
      </c>
      <c r="G13" s="696">
        <v>150</v>
      </c>
      <c r="H13" s="696">
        <v>150</v>
      </c>
      <c r="I13" s="696">
        <v>300</v>
      </c>
      <c r="J13" s="696">
        <v>300</v>
      </c>
      <c r="K13" s="696">
        <v>300</v>
      </c>
    </row>
    <row r="14" spans="1:11" x14ac:dyDescent="0.3">
      <c r="A14" s="50" t="s">
        <v>425</v>
      </c>
      <c r="B14" s="60">
        <v>200</v>
      </c>
      <c r="C14" s="51">
        <v>400</v>
      </c>
      <c r="D14" s="51">
        <f>15*40</f>
        <v>600</v>
      </c>
      <c r="E14" s="51">
        <v>600</v>
      </c>
      <c r="F14" s="696">
        <v>600</v>
      </c>
      <c r="G14" s="696">
        <v>600</v>
      </c>
      <c r="H14" s="696">
        <v>600</v>
      </c>
      <c r="I14" s="696">
        <v>600</v>
      </c>
      <c r="J14" s="696">
        <v>600</v>
      </c>
      <c r="K14" s="696">
        <v>600</v>
      </c>
    </row>
    <row r="15" spans="1:11" x14ac:dyDescent="0.3">
      <c r="A15" s="37" t="s">
        <v>426</v>
      </c>
      <c r="B15" s="59">
        <v>250</v>
      </c>
      <c r="C15" s="59">
        <v>500</v>
      </c>
      <c r="D15" s="59">
        <f>15*40.3</f>
        <v>604.5</v>
      </c>
      <c r="E15" s="59">
        <f>40.3*15</f>
        <v>604.5</v>
      </c>
      <c r="F15" s="697">
        <f>42*15</f>
        <v>630</v>
      </c>
      <c r="G15" s="697">
        <f>50*15</f>
        <v>750</v>
      </c>
      <c r="H15" s="697">
        <f>50*15</f>
        <v>750</v>
      </c>
      <c r="I15" s="697">
        <f>90*10</f>
        <v>900</v>
      </c>
      <c r="J15" s="697">
        <f>90*10</f>
        <v>900</v>
      </c>
      <c r="K15" s="697">
        <f>90*10</f>
        <v>900</v>
      </c>
    </row>
    <row r="16" spans="1:11" x14ac:dyDescent="0.3">
      <c r="A16" s="50" t="s">
        <v>427</v>
      </c>
      <c r="B16" s="60">
        <v>800</v>
      </c>
      <c r="C16" s="51"/>
      <c r="D16" s="51"/>
      <c r="E16" s="51"/>
      <c r="F16" s="696">
        <v>0</v>
      </c>
      <c r="G16" s="696">
        <v>2000</v>
      </c>
      <c r="H16" s="696">
        <v>2000</v>
      </c>
      <c r="I16" s="696">
        <v>2000</v>
      </c>
      <c r="J16" s="696">
        <v>2000</v>
      </c>
      <c r="K16" s="696">
        <v>1000</v>
      </c>
    </row>
    <row r="17" spans="1:11" hidden="1" x14ac:dyDescent="0.3">
      <c r="A17" s="37" t="s">
        <v>428</v>
      </c>
      <c r="B17" s="59">
        <v>2000</v>
      </c>
      <c r="C17" s="59">
        <v>2000</v>
      </c>
      <c r="D17" s="59">
        <f>15*101.25</f>
        <v>1518.75</v>
      </c>
      <c r="E17" s="59">
        <f>239*10</f>
        <v>2390</v>
      </c>
      <c r="F17" s="697">
        <f>245*10</f>
        <v>2450</v>
      </c>
      <c r="G17" s="697">
        <f>250*10</f>
        <v>2500</v>
      </c>
      <c r="H17" s="697">
        <f>250*15</f>
        <v>3750</v>
      </c>
      <c r="I17" s="697">
        <v>0</v>
      </c>
      <c r="J17" s="697">
        <v>0</v>
      </c>
      <c r="K17" s="697">
        <v>0</v>
      </c>
    </row>
    <row r="18" spans="1:11" x14ac:dyDescent="0.3">
      <c r="A18" s="50" t="s">
        <v>679</v>
      </c>
      <c r="B18" s="60">
        <v>300</v>
      </c>
      <c r="C18" s="51">
        <v>500</v>
      </c>
      <c r="D18" s="51">
        <v>500</v>
      </c>
      <c r="E18" s="51">
        <v>800</v>
      </c>
      <c r="F18" s="696">
        <v>800</v>
      </c>
      <c r="G18" s="696">
        <v>800</v>
      </c>
      <c r="H18" s="696">
        <v>800</v>
      </c>
      <c r="I18" s="696">
        <v>1000</v>
      </c>
      <c r="J18" s="696">
        <v>1200</v>
      </c>
      <c r="K18" s="696">
        <v>1400</v>
      </c>
    </row>
    <row r="19" spans="1:11" hidden="1" x14ac:dyDescent="0.3">
      <c r="A19" s="37" t="s">
        <v>429</v>
      </c>
      <c r="B19" s="59">
        <v>2000</v>
      </c>
      <c r="C19" s="59">
        <v>2000</v>
      </c>
      <c r="D19" s="59">
        <f>15*106.3</f>
        <v>1594.5</v>
      </c>
      <c r="E19" s="59">
        <f>216*10</f>
        <v>2160</v>
      </c>
      <c r="F19" s="697">
        <f>216*10</f>
        <v>2160</v>
      </c>
      <c r="G19" s="697">
        <f>220*10</f>
        <v>2200</v>
      </c>
      <c r="H19" s="697">
        <f>220*15</f>
        <v>3300</v>
      </c>
      <c r="I19" s="697">
        <v>0</v>
      </c>
      <c r="J19" s="697">
        <v>0</v>
      </c>
      <c r="K19" s="697">
        <v>0</v>
      </c>
    </row>
    <row r="20" spans="1:11" x14ac:dyDescent="0.3">
      <c r="A20" s="37" t="s">
        <v>764</v>
      </c>
      <c r="B20" s="59"/>
      <c r="C20" s="59"/>
      <c r="D20" s="59"/>
      <c r="E20" s="59"/>
      <c r="F20" s="697"/>
      <c r="G20" s="697"/>
      <c r="H20" s="697"/>
      <c r="I20" s="697"/>
      <c r="J20" s="697">
        <f>132*32</f>
        <v>4224</v>
      </c>
      <c r="K20" s="697">
        <v>0</v>
      </c>
    </row>
    <row r="21" spans="1:11" x14ac:dyDescent="0.3">
      <c r="A21" s="50" t="s">
        <v>430</v>
      </c>
      <c r="B21" s="51">
        <v>200</v>
      </c>
      <c r="C21" s="51">
        <v>500</v>
      </c>
      <c r="D21" s="51">
        <v>500</v>
      </c>
      <c r="E21" s="51">
        <v>500</v>
      </c>
      <c r="F21" s="696">
        <v>400</v>
      </c>
      <c r="G21" s="696">
        <f>85*24</f>
        <v>2040</v>
      </c>
      <c r="H21" s="696">
        <f>85*12</f>
        <v>1020</v>
      </c>
      <c r="I21" s="696">
        <f>85*12</f>
        <v>1020</v>
      </c>
      <c r="J21" s="696">
        <f>85*12</f>
        <v>1020</v>
      </c>
      <c r="K21" s="696">
        <f>85*6</f>
        <v>510</v>
      </c>
    </row>
    <row r="22" spans="1:11" x14ac:dyDescent="0.3">
      <c r="A22" s="831" t="s">
        <v>534</v>
      </c>
      <c r="B22" s="816"/>
      <c r="C22" s="816"/>
      <c r="D22" s="816"/>
      <c r="E22" s="816"/>
      <c r="F22" s="727">
        <v>1500</v>
      </c>
      <c r="G22" s="727">
        <v>300</v>
      </c>
      <c r="H22" s="727">
        <v>300</v>
      </c>
      <c r="I22" s="727">
        <v>300</v>
      </c>
      <c r="J22" s="727">
        <v>300</v>
      </c>
      <c r="K22" s="727">
        <v>300</v>
      </c>
    </row>
    <row r="23" spans="1:11" hidden="1" x14ac:dyDescent="0.3">
      <c r="A23" s="831" t="s">
        <v>546</v>
      </c>
      <c r="B23" s="816"/>
      <c r="C23" s="816"/>
      <c r="D23" s="816"/>
      <c r="E23" s="816"/>
      <c r="F23" s="727">
        <v>7500</v>
      </c>
      <c r="G23" s="727">
        <v>0</v>
      </c>
      <c r="H23" s="727"/>
      <c r="I23" s="727"/>
      <c r="J23" s="727"/>
      <c r="K23" s="727"/>
    </row>
    <row r="24" spans="1:11" x14ac:dyDescent="0.3">
      <c r="A24" s="831" t="s">
        <v>714</v>
      </c>
      <c r="B24" s="816"/>
      <c r="C24" s="816"/>
      <c r="D24" s="816"/>
      <c r="E24" s="816"/>
      <c r="F24" s="727"/>
      <c r="G24" s="727"/>
      <c r="H24" s="727"/>
      <c r="I24" s="727"/>
      <c r="J24" s="727">
        <f>90*4</f>
        <v>360</v>
      </c>
      <c r="K24" s="727">
        <v>0</v>
      </c>
    </row>
    <row r="25" spans="1:11" x14ac:dyDescent="0.3">
      <c r="A25" s="831" t="s">
        <v>713</v>
      </c>
      <c r="B25" s="816"/>
      <c r="C25" s="816"/>
      <c r="D25" s="816"/>
      <c r="E25" s="816"/>
      <c r="F25" s="727"/>
      <c r="G25" s="727"/>
      <c r="H25" s="727"/>
      <c r="I25" s="727"/>
      <c r="J25" s="727">
        <f>90*4</f>
        <v>360</v>
      </c>
      <c r="K25" s="727">
        <v>0</v>
      </c>
    </row>
    <row r="26" spans="1:11" x14ac:dyDescent="0.3">
      <c r="A26" s="831" t="s">
        <v>596</v>
      </c>
      <c r="B26" s="816"/>
      <c r="C26" s="816"/>
      <c r="D26" s="816"/>
      <c r="E26" s="816"/>
      <c r="F26" s="727"/>
      <c r="G26" s="727"/>
      <c r="H26" s="727"/>
      <c r="I26" s="727">
        <f>(290*5)+(290*5)+(195*2)</f>
        <v>3290</v>
      </c>
      <c r="J26" s="727">
        <f>(290*5)+(290*5)+(195*2)</f>
        <v>3290</v>
      </c>
      <c r="K26" s="727">
        <f>(290*5)+(290*5)+(195*2)</f>
        <v>3290</v>
      </c>
    </row>
    <row r="27" spans="1:11" x14ac:dyDescent="0.3">
      <c r="A27" s="210"/>
      <c r="B27" s="832"/>
      <c r="C27" s="442"/>
      <c r="D27" s="442"/>
      <c r="E27" s="442"/>
      <c r="F27" s="635">
        <v>0</v>
      </c>
      <c r="G27" s="635">
        <v>0</v>
      </c>
      <c r="H27" s="635">
        <f>(270*29)+(270*29)+(290*2)+(185*2)</f>
        <v>16610</v>
      </c>
      <c r="I27" s="635"/>
      <c r="J27" s="635"/>
      <c r="K27" s="635"/>
    </row>
    <row r="28" spans="1:11" x14ac:dyDescent="0.3">
      <c r="A28" s="810" t="s">
        <v>159</v>
      </c>
      <c r="B28" s="833">
        <f t="shared" ref="B28:H28" si="0">SUM(B3:B27)</f>
        <v>37450</v>
      </c>
      <c r="C28" s="834">
        <f t="shared" si="0"/>
        <v>31900</v>
      </c>
      <c r="D28" s="835">
        <f t="shared" si="0"/>
        <v>34917.75</v>
      </c>
      <c r="E28" s="835">
        <f t="shared" si="0"/>
        <v>38575.300000000003</v>
      </c>
      <c r="F28" s="836">
        <f t="shared" si="0"/>
        <v>48390</v>
      </c>
      <c r="G28" s="837">
        <f t="shared" ref="G28" si="1">SUM(G3:G27)</f>
        <v>109740</v>
      </c>
      <c r="H28" s="838">
        <f t="shared" si="0"/>
        <v>59680</v>
      </c>
      <c r="I28" s="838">
        <f t="shared" ref="I28:J28" si="2">SUM(I3:I27)</f>
        <v>44810</v>
      </c>
      <c r="J28" s="838">
        <f t="shared" si="2"/>
        <v>52814</v>
      </c>
      <c r="K28" s="838">
        <f>SUM(K3:K27)</f>
        <v>43830</v>
      </c>
    </row>
    <row r="29" spans="1:11" ht="18" customHeight="1" x14ac:dyDescent="0.3"/>
    <row r="30" spans="1:11" x14ac:dyDescent="0.3">
      <c r="A30" s="135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ColWidth="9.140625" defaultRowHeight="18.75" customHeight="1" x14ac:dyDescent="0.3"/>
  <cols>
    <col min="1" max="1" width="48.7109375" style="95" bestFit="1" customWidth="1"/>
    <col min="2" max="4" width="10.5703125" style="25" hidden="1" customWidth="1"/>
    <col min="5" max="8" width="10.85546875" style="25" hidden="1" customWidth="1"/>
    <col min="9" max="16384" width="9.140625" style="25"/>
  </cols>
  <sheetData>
    <row r="1" spans="1:11" s="44" customFormat="1" ht="18.95" customHeight="1" x14ac:dyDescent="0.3">
      <c r="A1" s="213" t="s">
        <v>472</v>
      </c>
      <c r="B1" s="187"/>
      <c r="C1" s="187"/>
      <c r="D1" s="187"/>
      <c r="E1" s="203"/>
      <c r="F1" s="203"/>
      <c r="G1" s="203"/>
      <c r="H1" s="203"/>
      <c r="I1" s="203"/>
      <c r="J1" s="203"/>
      <c r="K1" s="203"/>
    </row>
    <row r="2" spans="1:11" ht="18.95" customHeight="1" x14ac:dyDescent="0.3">
      <c r="A2" s="96"/>
      <c r="B2" s="96"/>
      <c r="C2" s="96"/>
      <c r="D2" s="96"/>
      <c r="E2" s="46"/>
      <c r="F2" s="46"/>
      <c r="G2" s="46"/>
      <c r="H2" s="46"/>
      <c r="I2" s="46"/>
      <c r="J2" s="46"/>
      <c r="K2" s="46"/>
    </row>
    <row r="3" spans="1:11" s="44" customFormat="1" ht="18.95" customHeight="1" x14ac:dyDescent="0.3">
      <c r="A3" s="39" t="s">
        <v>115</v>
      </c>
      <c r="B3" s="39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95" customHeight="1" x14ac:dyDescent="0.3">
      <c r="A4" s="99"/>
      <c r="B4" s="115"/>
      <c r="C4" s="216"/>
      <c r="D4" s="216"/>
      <c r="E4" s="216"/>
      <c r="F4" s="714"/>
      <c r="G4" s="714"/>
      <c r="H4" s="714"/>
      <c r="I4" s="714"/>
      <c r="J4" s="714"/>
      <c r="K4" s="714"/>
    </row>
    <row r="5" spans="1:11" s="44" customFormat="1" ht="18.95" customHeight="1" x14ac:dyDescent="0.3">
      <c r="A5" s="52" t="s">
        <v>695</v>
      </c>
      <c r="B5" s="60">
        <v>200</v>
      </c>
      <c r="C5" s="346">
        <v>900</v>
      </c>
      <c r="D5" s="346">
        <v>800</v>
      </c>
      <c r="E5" s="346">
        <v>800</v>
      </c>
      <c r="F5" s="732">
        <v>800</v>
      </c>
      <c r="G5" s="732">
        <v>1500</v>
      </c>
      <c r="H5" s="732">
        <v>1500</v>
      </c>
      <c r="I5" s="732">
        <v>1500</v>
      </c>
      <c r="J5" s="732">
        <v>1500</v>
      </c>
      <c r="K5" s="732">
        <v>1500</v>
      </c>
    </row>
    <row r="6" spans="1:11" ht="18.95" customHeight="1" x14ac:dyDescent="0.3">
      <c r="A6" s="52" t="s">
        <v>696</v>
      </c>
      <c r="B6" s="40">
        <v>125</v>
      </c>
      <c r="C6" s="346">
        <v>100</v>
      </c>
      <c r="D6" s="346">
        <v>0</v>
      </c>
      <c r="E6" s="346">
        <v>0</v>
      </c>
      <c r="F6" s="732">
        <v>225</v>
      </c>
      <c r="G6" s="732">
        <v>225</v>
      </c>
      <c r="H6" s="732">
        <v>225</v>
      </c>
      <c r="I6" s="732">
        <v>300</v>
      </c>
      <c r="J6" s="732">
        <v>300</v>
      </c>
      <c r="K6" s="732">
        <v>300</v>
      </c>
    </row>
    <row r="7" spans="1:11" ht="18.95" customHeight="1" x14ac:dyDescent="0.3">
      <c r="A7" s="52" t="s">
        <v>697</v>
      </c>
      <c r="B7" s="60">
        <v>125</v>
      </c>
      <c r="C7" s="62">
        <v>1000</v>
      </c>
      <c r="D7" s="62">
        <v>2500</v>
      </c>
      <c r="E7" s="62">
        <v>2500</v>
      </c>
      <c r="F7" s="733">
        <v>2500</v>
      </c>
      <c r="G7" s="733">
        <v>2500</v>
      </c>
      <c r="H7" s="733">
        <v>2500</v>
      </c>
      <c r="I7" s="733">
        <v>2500</v>
      </c>
      <c r="J7" s="733">
        <v>3500</v>
      </c>
      <c r="K7" s="733">
        <v>3500</v>
      </c>
    </row>
    <row r="8" spans="1:11" ht="18.95" customHeight="1" x14ac:dyDescent="0.3">
      <c r="A8" s="61" t="s">
        <v>686</v>
      </c>
      <c r="B8" s="194">
        <v>1000</v>
      </c>
      <c r="C8" s="59">
        <v>2500</v>
      </c>
      <c r="D8" s="59">
        <v>1500</v>
      </c>
      <c r="E8" s="59">
        <v>1500</v>
      </c>
      <c r="F8" s="697">
        <v>1000</v>
      </c>
      <c r="G8" s="697">
        <v>3500</v>
      </c>
      <c r="H8" s="697">
        <v>3500</v>
      </c>
      <c r="I8" s="697">
        <v>3500</v>
      </c>
      <c r="J8" s="697">
        <v>4500</v>
      </c>
      <c r="K8" s="697">
        <v>4500</v>
      </c>
    </row>
    <row r="9" spans="1:11" ht="18.95" customHeight="1" x14ac:dyDescent="0.3">
      <c r="A9" s="452" t="s">
        <v>687</v>
      </c>
      <c r="B9" s="105"/>
      <c r="C9" s="104">
        <v>1200</v>
      </c>
      <c r="D9" s="104">
        <v>1200</v>
      </c>
      <c r="E9" s="104">
        <v>1800</v>
      </c>
      <c r="F9" s="698">
        <v>1500</v>
      </c>
      <c r="G9" s="698">
        <v>3500</v>
      </c>
      <c r="H9" s="698">
        <v>3500</v>
      </c>
      <c r="I9" s="698">
        <v>3500</v>
      </c>
      <c r="J9" s="698">
        <v>4000</v>
      </c>
      <c r="K9" s="698">
        <v>4000</v>
      </c>
    </row>
    <row r="10" spans="1:11" ht="18.95" customHeight="1" x14ac:dyDescent="0.3">
      <c r="A10" s="452" t="s">
        <v>609</v>
      </c>
      <c r="B10" s="105"/>
      <c r="C10" s="104">
        <v>9327</v>
      </c>
      <c r="D10" s="104">
        <v>10000</v>
      </c>
      <c r="E10" s="104">
        <v>0</v>
      </c>
      <c r="F10" s="698">
        <v>0</v>
      </c>
      <c r="G10" s="698">
        <f>3200*4</f>
        <v>12800</v>
      </c>
      <c r="H10" s="698">
        <v>0</v>
      </c>
      <c r="I10" s="698">
        <f>3500*3</f>
        <v>10500</v>
      </c>
      <c r="J10" s="698">
        <v>0</v>
      </c>
      <c r="K10" s="698">
        <f>3600*2</f>
        <v>7200</v>
      </c>
    </row>
    <row r="11" spans="1:11" ht="18.95" customHeight="1" x14ac:dyDescent="0.3">
      <c r="A11" s="452" t="s">
        <v>769</v>
      </c>
      <c r="B11" s="105"/>
      <c r="C11" s="104"/>
      <c r="D11" s="104"/>
      <c r="E11" s="104"/>
      <c r="F11" s="698"/>
      <c r="G11" s="698"/>
      <c r="H11" s="698">
        <v>0</v>
      </c>
      <c r="I11" s="698">
        <v>0</v>
      </c>
      <c r="J11" s="698">
        <f>3800*3</f>
        <v>11400</v>
      </c>
      <c r="K11" s="698">
        <v>0</v>
      </c>
    </row>
    <row r="12" spans="1:11" ht="18.95" customHeight="1" x14ac:dyDescent="0.3">
      <c r="A12" s="504"/>
      <c r="B12" s="442"/>
      <c r="C12" s="758"/>
      <c r="D12" s="758"/>
      <c r="E12" s="758"/>
      <c r="F12" s="828"/>
      <c r="G12" s="828"/>
      <c r="H12" s="828"/>
      <c r="I12" s="828"/>
      <c r="J12" s="828"/>
      <c r="K12" s="828"/>
    </row>
    <row r="13" spans="1:11" ht="18.95" customHeight="1" x14ac:dyDescent="0.3">
      <c r="A13" s="217" t="s">
        <v>113</v>
      </c>
      <c r="B13" s="829">
        <f>SUM(B4:B12)</f>
        <v>1450</v>
      </c>
      <c r="C13" s="829">
        <f>SUM(C4:C12)</f>
        <v>15027</v>
      </c>
      <c r="D13" s="829">
        <f>SUM(D4:D12)</f>
        <v>16000</v>
      </c>
      <c r="E13" s="829">
        <f t="shared" ref="E13:J13" si="0">SUM(E5:E12)</f>
        <v>6600</v>
      </c>
      <c r="F13" s="830">
        <f t="shared" si="0"/>
        <v>6025</v>
      </c>
      <c r="G13" s="830">
        <f t="shared" si="0"/>
        <v>24025</v>
      </c>
      <c r="H13" s="830">
        <f t="shared" si="0"/>
        <v>11225</v>
      </c>
      <c r="I13" s="830">
        <f t="shared" si="0"/>
        <v>21800</v>
      </c>
      <c r="J13" s="830">
        <f t="shared" si="0"/>
        <v>25200</v>
      </c>
      <c r="K13" s="830">
        <f t="shared" ref="K13" si="1">SUM(K5:K12)</f>
        <v>21000</v>
      </c>
    </row>
    <row r="14" spans="1:11" ht="18.75" customHeight="1" x14ac:dyDescent="0.3">
      <c r="A14" s="109"/>
    </row>
    <row r="15" spans="1:11" ht="18.75" customHeight="1" x14ac:dyDescent="0.3">
      <c r="A15" s="109"/>
    </row>
    <row r="17" spans="1:1" ht="18.75" customHeight="1" x14ac:dyDescent="0.3">
      <c r="A17" s="109"/>
    </row>
    <row r="18" spans="1:1" ht="18.75" customHeight="1" x14ac:dyDescent="0.3">
      <c r="A18" s="109"/>
    </row>
    <row r="19" spans="1:1" ht="18.75" customHeight="1" x14ac:dyDescent="0.3">
      <c r="A19" s="109"/>
    </row>
    <row r="20" spans="1:1" ht="18.75" customHeight="1" x14ac:dyDescent="0.3">
      <c r="A20" s="109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defaultColWidth="9.140625" defaultRowHeight="18.75" customHeight="1" x14ac:dyDescent="0.3"/>
  <cols>
    <col min="1" max="1" width="29" style="95" bestFit="1" customWidth="1"/>
    <col min="2" max="4" width="10.7109375" style="25" hidden="1" customWidth="1"/>
    <col min="5" max="8" width="11" style="25" hidden="1" customWidth="1"/>
    <col min="9" max="16384" width="9.140625" style="25"/>
  </cols>
  <sheetData>
    <row r="1" spans="1:11" s="44" customFormat="1" ht="18.75" customHeight="1" x14ac:dyDescent="0.3">
      <c r="A1" s="213" t="s">
        <v>474</v>
      </c>
      <c r="B1" s="187"/>
      <c r="C1" s="187"/>
      <c r="D1" s="187"/>
      <c r="E1" s="215"/>
      <c r="F1" s="215"/>
      <c r="G1" s="215"/>
      <c r="H1" s="215"/>
      <c r="I1" s="215"/>
      <c r="J1" s="215"/>
      <c r="K1" s="215"/>
    </row>
    <row r="2" spans="1:11" ht="18.75" customHeight="1" x14ac:dyDescent="0.3">
      <c r="A2" s="96"/>
      <c r="B2" s="96"/>
      <c r="C2" s="96"/>
      <c r="D2" s="96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39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99"/>
      <c r="B4" s="99"/>
      <c r="C4" s="218"/>
      <c r="D4" s="218"/>
      <c r="E4" s="218"/>
      <c r="F4" s="715"/>
      <c r="G4" s="715"/>
      <c r="H4" s="715"/>
      <c r="I4" s="715"/>
      <c r="J4" s="715"/>
      <c r="K4" s="715"/>
    </row>
    <row r="5" spans="1:11" s="44" customFormat="1" ht="18.75" customHeight="1" x14ac:dyDescent="0.3">
      <c r="A5" s="36" t="s">
        <v>688</v>
      </c>
      <c r="B5" s="40">
        <v>400</v>
      </c>
      <c r="C5" s="34">
        <v>400</v>
      </c>
      <c r="D5" s="34">
        <v>400</v>
      </c>
      <c r="E5" s="34">
        <v>400</v>
      </c>
      <c r="F5" s="701">
        <v>500</v>
      </c>
      <c r="G5" s="701">
        <v>500</v>
      </c>
      <c r="H5" s="701">
        <v>500</v>
      </c>
      <c r="I5" s="701">
        <v>600</v>
      </c>
      <c r="J5" s="701">
        <v>750</v>
      </c>
      <c r="K5" s="701">
        <v>750</v>
      </c>
    </row>
    <row r="6" spans="1:11" s="44" customFormat="1" ht="18.75" hidden="1" customHeight="1" x14ac:dyDescent="0.3">
      <c r="A6" s="944" t="s">
        <v>187</v>
      </c>
      <c r="B6" s="40">
        <v>200</v>
      </c>
      <c r="C6" s="34"/>
      <c r="D6" s="34"/>
      <c r="E6" s="34"/>
      <c r="F6" s="701"/>
      <c r="G6" s="701"/>
      <c r="H6" s="701"/>
      <c r="I6" s="701"/>
      <c r="J6" s="701"/>
      <c r="K6" s="701"/>
    </row>
    <row r="7" spans="1:11" s="44" customFormat="1" ht="18.75" customHeight="1" x14ac:dyDescent="0.3">
      <c r="A7" s="810" t="s">
        <v>12</v>
      </c>
      <c r="B7" s="40">
        <v>200</v>
      </c>
      <c r="C7" s="60">
        <v>100</v>
      </c>
      <c r="D7" s="60">
        <v>100</v>
      </c>
      <c r="E7" s="60">
        <v>100</v>
      </c>
      <c r="F7" s="633">
        <v>150</v>
      </c>
      <c r="G7" s="633">
        <v>300</v>
      </c>
      <c r="H7" s="633">
        <v>300</v>
      </c>
      <c r="I7" s="633">
        <v>1800</v>
      </c>
      <c r="J7" s="633">
        <v>500</v>
      </c>
      <c r="K7" s="633">
        <v>500</v>
      </c>
    </row>
    <row r="8" spans="1:11" ht="18.75" customHeight="1" x14ac:dyDescent="0.3">
      <c r="A8" s="992" t="s">
        <v>839</v>
      </c>
      <c r="B8" s="52"/>
      <c r="C8" s="34"/>
      <c r="D8" s="34"/>
      <c r="E8" s="34"/>
      <c r="F8" s="701"/>
      <c r="G8" s="701"/>
      <c r="H8" s="701"/>
      <c r="I8" s="701"/>
      <c r="J8" s="701"/>
      <c r="K8" s="701">
        <v>1100</v>
      </c>
    </row>
    <row r="9" spans="1:11" ht="18.75" customHeight="1" thickBot="1" x14ac:dyDescent="0.35">
      <c r="A9" s="53"/>
      <c r="B9" s="201"/>
      <c r="C9" s="252"/>
      <c r="D9" s="252"/>
      <c r="E9" s="252"/>
      <c r="F9" s="716"/>
      <c r="G9" s="716"/>
      <c r="H9" s="716"/>
      <c r="I9" s="716"/>
      <c r="J9" s="716"/>
      <c r="K9" s="716"/>
    </row>
    <row r="10" spans="1:11" ht="18.75" customHeight="1" thickTop="1" x14ac:dyDescent="0.3">
      <c r="A10" s="101" t="s">
        <v>113</v>
      </c>
      <c r="B10" s="42">
        <f t="shared" ref="B10:H10" si="0">SUM(B4:B9)</f>
        <v>800</v>
      </c>
      <c r="C10" s="42">
        <f t="shared" si="0"/>
        <v>500</v>
      </c>
      <c r="D10" s="219">
        <f t="shared" si="0"/>
        <v>500</v>
      </c>
      <c r="E10" s="219">
        <f t="shared" si="0"/>
        <v>500</v>
      </c>
      <c r="F10" s="717">
        <f t="shared" si="0"/>
        <v>650</v>
      </c>
      <c r="G10" s="717">
        <f t="shared" ref="G10" si="1">SUM(G4:G9)</f>
        <v>800</v>
      </c>
      <c r="H10" s="717">
        <f t="shared" si="0"/>
        <v>800</v>
      </c>
      <c r="I10" s="717">
        <f t="shared" ref="I10:J10" si="2">SUM(I4:I9)</f>
        <v>2400</v>
      </c>
      <c r="J10" s="717">
        <f t="shared" si="2"/>
        <v>1250</v>
      </c>
      <c r="K10" s="717">
        <f t="shared" ref="K10" si="3">SUM(K4:K9)</f>
        <v>2350</v>
      </c>
    </row>
    <row r="11" spans="1:11" ht="18.75" customHeight="1" x14ac:dyDescent="0.3">
      <c r="A11" s="109"/>
    </row>
    <row r="12" spans="1:11" s="44" customFormat="1" ht="18.75" customHeight="1" x14ac:dyDescent="0.3">
      <c r="A12" s="109"/>
    </row>
    <row r="13" spans="1:11" ht="18.75" customHeight="1" x14ac:dyDescent="0.3">
      <c r="A13" s="109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ColWidth="9.140625" defaultRowHeight="18.75" customHeight="1" x14ac:dyDescent="0.2"/>
  <cols>
    <col min="1" max="1" width="27.5703125" style="13" customWidth="1"/>
    <col min="2" max="4" width="11.7109375" style="94" hidden="1" customWidth="1"/>
    <col min="5" max="8" width="11.28515625" style="94" hidden="1" customWidth="1"/>
    <col min="9" max="16384" width="9.140625" style="94"/>
  </cols>
  <sheetData>
    <row r="1" spans="1:18" s="179" customFormat="1" ht="18.75" customHeight="1" x14ac:dyDescent="0.3">
      <c r="A1" s="213" t="s">
        <v>211</v>
      </c>
      <c r="B1" s="187"/>
      <c r="C1" s="187"/>
      <c r="D1" s="187"/>
      <c r="E1" s="203"/>
      <c r="F1" s="203"/>
      <c r="G1" s="203"/>
      <c r="H1" s="203"/>
      <c r="I1" s="203"/>
      <c r="J1" s="203"/>
      <c r="K1" s="203"/>
      <c r="L1" s="183"/>
      <c r="M1" s="183"/>
      <c r="N1" s="183"/>
      <c r="O1" s="183"/>
      <c r="P1" s="183"/>
      <c r="Q1" s="183"/>
      <c r="R1" s="183"/>
    </row>
    <row r="2" spans="1:18" ht="18.75" customHeight="1" x14ac:dyDescent="0.3">
      <c r="A2" s="96"/>
      <c r="B2" s="96"/>
      <c r="C2" s="96"/>
      <c r="D2" s="96"/>
      <c r="E2" s="46"/>
      <c r="F2" s="46"/>
      <c r="G2" s="46"/>
      <c r="H2" s="46"/>
      <c r="I2" s="46"/>
      <c r="J2" s="46"/>
      <c r="K2" s="46"/>
      <c r="L2" s="183"/>
      <c r="M2" s="183"/>
      <c r="N2" s="183"/>
      <c r="O2" s="183"/>
      <c r="P2" s="183"/>
      <c r="Q2" s="183"/>
      <c r="R2" s="183"/>
    </row>
    <row r="3" spans="1:18" s="179" customFormat="1" ht="18.75" customHeight="1" x14ac:dyDescent="0.3">
      <c r="A3" s="39" t="s">
        <v>115</v>
      </c>
      <c r="B3" s="39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  <c r="L3" s="183"/>
      <c r="M3" s="183"/>
      <c r="N3" s="183"/>
      <c r="O3" s="183"/>
      <c r="P3" s="183"/>
      <c r="Q3" s="183"/>
      <c r="R3" s="183"/>
    </row>
    <row r="4" spans="1:18" s="180" customFormat="1" ht="18.75" customHeight="1" x14ac:dyDescent="0.3">
      <c r="A4" s="99"/>
      <c r="B4" s="99"/>
      <c r="C4" s="826"/>
      <c r="D4" s="826"/>
      <c r="E4" s="826"/>
      <c r="F4" s="695"/>
      <c r="G4" s="695"/>
      <c r="H4" s="695"/>
      <c r="I4" s="695"/>
      <c r="J4" s="695"/>
      <c r="K4" s="695"/>
      <c r="L4" s="183"/>
      <c r="M4" s="183"/>
      <c r="N4" s="183"/>
      <c r="O4" s="183"/>
      <c r="P4" s="183"/>
      <c r="Q4" s="183"/>
      <c r="R4" s="183"/>
    </row>
    <row r="5" spans="1:18" ht="18.75" customHeight="1" x14ac:dyDescent="0.3">
      <c r="A5" s="52" t="s">
        <v>689</v>
      </c>
      <c r="B5" s="40">
        <v>21000</v>
      </c>
      <c r="C5" s="60">
        <v>21000</v>
      </c>
      <c r="D5" s="60">
        <f>18963</f>
        <v>18963</v>
      </c>
      <c r="E5" s="60">
        <v>19600</v>
      </c>
      <c r="F5" s="634">
        <v>19086</v>
      </c>
      <c r="G5" s="634">
        <v>19500</v>
      </c>
      <c r="H5" s="634">
        <v>20900</v>
      </c>
      <c r="I5" s="634">
        <v>22000</v>
      </c>
      <c r="J5" s="634">
        <f>19998*1.1</f>
        <v>21997.800000000003</v>
      </c>
      <c r="K5" s="634">
        <f>21998*1.1</f>
        <v>24197.800000000003</v>
      </c>
      <c r="L5" s="183"/>
      <c r="M5" s="183"/>
      <c r="N5" s="183"/>
      <c r="O5" s="183"/>
      <c r="P5" s="183"/>
      <c r="Q5" s="183"/>
      <c r="R5" s="183"/>
    </row>
    <row r="6" spans="1:18" ht="18.75" customHeight="1" x14ac:dyDescent="0.3">
      <c r="A6" s="283"/>
      <c r="B6" s="41"/>
      <c r="C6" s="105"/>
      <c r="D6" s="105"/>
      <c r="E6" s="105"/>
      <c r="F6" s="723"/>
      <c r="G6" s="723"/>
      <c r="H6" s="723"/>
      <c r="I6" s="723"/>
      <c r="J6" s="723"/>
      <c r="K6" s="723"/>
      <c r="L6" s="183"/>
      <c r="M6" s="183"/>
      <c r="N6" s="183"/>
      <c r="O6" s="183"/>
      <c r="P6" s="183"/>
      <c r="Q6" s="183"/>
      <c r="R6" s="183"/>
    </row>
    <row r="7" spans="1:18" ht="18.75" customHeight="1" thickBot="1" x14ac:dyDescent="0.35">
      <c r="A7" s="283"/>
      <c r="B7" s="41">
        <v>-1327</v>
      </c>
      <c r="C7" s="105"/>
      <c r="D7" s="105"/>
      <c r="E7" s="105"/>
      <c r="F7" s="723"/>
      <c r="G7" s="723"/>
      <c r="H7" s="723"/>
      <c r="I7" s="723"/>
      <c r="J7" s="723"/>
      <c r="K7" s="723"/>
      <c r="L7" s="183"/>
      <c r="M7" s="183"/>
      <c r="N7" s="183"/>
      <c r="O7" s="183"/>
      <c r="P7" s="183"/>
      <c r="Q7" s="183"/>
      <c r="R7" s="183"/>
    </row>
    <row r="8" spans="1:18" ht="18.75" customHeight="1" thickTop="1" x14ac:dyDescent="0.3">
      <c r="A8" s="111" t="s">
        <v>113</v>
      </c>
      <c r="B8" s="827">
        <f t="shared" ref="B8:D8" si="0">SUM(B4:B7)</f>
        <v>19673</v>
      </c>
      <c r="C8" s="110">
        <f t="shared" si="0"/>
        <v>21000</v>
      </c>
      <c r="D8" s="110">
        <f t="shared" si="0"/>
        <v>18963</v>
      </c>
      <c r="E8" s="110">
        <f t="shared" ref="E8:J8" si="1">SUM(E4:E7)</f>
        <v>19600</v>
      </c>
      <c r="F8" s="724">
        <f t="shared" si="1"/>
        <v>19086</v>
      </c>
      <c r="G8" s="724">
        <f t="shared" si="1"/>
        <v>19500</v>
      </c>
      <c r="H8" s="724">
        <f t="shared" si="1"/>
        <v>20900</v>
      </c>
      <c r="I8" s="724">
        <f t="shared" si="1"/>
        <v>22000</v>
      </c>
      <c r="J8" s="724">
        <f t="shared" si="1"/>
        <v>21997.800000000003</v>
      </c>
      <c r="K8" s="724">
        <f t="shared" ref="K8" si="2">SUM(K4:K7)</f>
        <v>24197.800000000003</v>
      </c>
      <c r="L8" s="183"/>
      <c r="M8" s="183"/>
      <c r="N8" s="183"/>
      <c r="O8" s="183"/>
      <c r="P8" s="183"/>
      <c r="Q8" s="183"/>
      <c r="R8" s="183"/>
    </row>
    <row r="9" spans="1:18" ht="18.75" customHeight="1" x14ac:dyDescent="0.3">
      <c r="A9" s="109"/>
      <c r="B9" s="127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spans="1:18" ht="18.75" customHeight="1" x14ac:dyDescent="0.3">
      <c r="A10" s="109"/>
      <c r="B10" s="25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spans="1:18" ht="18.75" customHeight="1" x14ac:dyDescent="0.2">
      <c r="A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spans="1:18" ht="18.75" customHeight="1" x14ac:dyDescent="0.2">
      <c r="A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spans="1:18" ht="18.75" customHeigh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spans="1:18" ht="18.75" customHeight="1" x14ac:dyDescent="0.2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spans="1:18" ht="18.75" customHeight="1" x14ac:dyDescent="0.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spans="1:18" ht="18.75" customHeight="1" x14ac:dyDescent="0.2">
      <c r="A16" s="183"/>
      <c r="B16" s="183"/>
      <c r="C16" s="183"/>
      <c r="D16" s="183"/>
    </row>
    <row r="17" spans="1:4" ht="18.75" customHeight="1" x14ac:dyDescent="0.2">
      <c r="A17" s="183"/>
      <c r="B17" s="183"/>
      <c r="C17" s="183"/>
      <c r="D17" s="183"/>
    </row>
    <row r="18" spans="1:4" ht="18.75" customHeight="1" x14ac:dyDescent="0.2">
      <c r="A18" s="183"/>
      <c r="B18" s="183"/>
      <c r="C18" s="183"/>
      <c r="D18" s="183"/>
    </row>
    <row r="19" spans="1:4" ht="18.75" customHeight="1" x14ac:dyDescent="0.2">
      <c r="A19" s="183"/>
      <c r="B19" s="183"/>
      <c r="C19" s="183"/>
      <c r="D19" s="183"/>
    </row>
    <row r="20" spans="1:4" ht="18.75" customHeight="1" x14ac:dyDescent="0.2">
      <c r="A20" s="183"/>
      <c r="B20" s="183"/>
      <c r="C20" s="183"/>
      <c r="D20" s="183"/>
    </row>
    <row r="21" spans="1:4" ht="18.75" customHeight="1" x14ac:dyDescent="0.2">
      <c r="A21" s="183"/>
      <c r="B21" s="183"/>
      <c r="C21" s="183"/>
      <c r="D21" s="183"/>
    </row>
    <row r="22" spans="1:4" ht="18.75" customHeight="1" x14ac:dyDescent="0.2">
      <c r="A22" s="183"/>
      <c r="B22" s="183"/>
      <c r="C22" s="183"/>
      <c r="D22" s="183"/>
    </row>
    <row r="23" spans="1:4" ht="18.75" customHeight="1" x14ac:dyDescent="0.2">
      <c r="A23" s="183"/>
      <c r="B23" s="183"/>
      <c r="C23" s="183"/>
      <c r="D23" s="183"/>
    </row>
    <row r="24" spans="1:4" ht="18.75" customHeight="1" x14ac:dyDescent="0.2">
      <c r="A24" s="183"/>
      <c r="B24" s="183"/>
      <c r="C24" s="183"/>
      <c r="D24" s="183"/>
    </row>
    <row r="25" spans="1:4" ht="18.75" customHeight="1" x14ac:dyDescent="0.2">
      <c r="A25" s="183"/>
      <c r="B25" s="183"/>
      <c r="C25" s="183"/>
      <c r="D25" s="183"/>
    </row>
    <row r="26" spans="1:4" ht="18.75" customHeight="1" x14ac:dyDescent="0.2">
      <c r="A26" s="183"/>
      <c r="B26" s="183"/>
      <c r="C26" s="183"/>
      <c r="D26" s="183"/>
    </row>
    <row r="27" spans="1:4" ht="18.75" customHeight="1" x14ac:dyDescent="0.2">
      <c r="A27" s="183"/>
      <c r="B27" s="183"/>
      <c r="C27" s="183"/>
      <c r="D27" s="183"/>
    </row>
    <row r="28" spans="1:4" ht="18.75" customHeight="1" x14ac:dyDescent="0.2">
      <c r="A28" s="183"/>
      <c r="B28" s="183"/>
      <c r="C28" s="183"/>
      <c r="D28" s="183"/>
    </row>
    <row r="29" spans="1:4" ht="18.75" customHeight="1" x14ac:dyDescent="0.2">
      <c r="A29" s="183"/>
      <c r="B29" s="183"/>
      <c r="C29" s="183"/>
      <c r="D29" s="183"/>
    </row>
    <row r="30" spans="1:4" ht="18.75" customHeight="1" x14ac:dyDescent="0.2">
      <c r="A30" s="183"/>
      <c r="B30" s="183"/>
      <c r="C30" s="183"/>
      <c r="D30" s="183"/>
    </row>
    <row r="31" spans="1:4" ht="18.75" customHeight="1" x14ac:dyDescent="0.2">
      <c r="A31" s="183"/>
      <c r="B31" s="183"/>
      <c r="C31" s="183"/>
      <c r="D31" s="183"/>
    </row>
    <row r="32" spans="1:4" ht="18.75" customHeight="1" x14ac:dyDescent="0.2">
      <c r="A32" s="183"/>
      <c r="B32" s="183"/>
      <c r="C32" s="183"/>
      <c r="D32" s="183"/>
    </row>
    <row r="33" spans="1:4" ht="18.75" customHeight="1" x14ac:dyDescent="0.2">
      <c r="A33" s="183"/>
      <c r="B33" s="183"/>
      <c r="C33" s="183"/>
      <c r="D33" s="183"/>
    </row>
    <row r="34" spans="1:4" ht="18.75" customHeight="1" x14ac:dyDescent="0.2">
      <c r="A34" s="183"/>
      <c r="B34" s="183"/>
      <c r="C34" s="183"/>
      <c r="D34" s="183"/>
    </row>
    <row r="35" spans="1:4" ht="18.75" customHeight="1" x14ac:dyDescent="0.2">
      <c r="A35" s="183"/>
      <c r="B35" s="183"/>
      <c r="C35" s="183"/>
      <c r="D35" s="183"/>
    </row>
    <row r="36" spans="1:4" ht="18.75" customHeight="1" x14ac:dyDescent="0.2">
      <c r="A36" s="183"/>
      <c r="B36" s="183"/>
      <c r="C36" s="183"/>
      <c r="D36" s="183"/>
    </row>
    <row r="37" spans="1:4" ht="18.75" customHeight="1" x14ac:dyDescent="0.2">
      <c r="A37" s="183"/>
      <c r="B37" s="183"/>
      <c r="C37" s="183"/>
      <c r="D37" s="183"/>
    </row>
    <row r="38" spans="1:4" ht="18.75" customHeight="1" x14ac:dyDescent="0.2">
      <c r="A38" s="183"/>
      <c r="B38" s="183"/>
      <c r="C38" s="183"/>
      <c r="D38" s="183"/>
    </row>
    <row r="39" spans="1:4" ht="18.75" customHeight="1" x14ac:dyDescent="0.2">
      <c r="A39" s="183"/>
      <c r="B39" s="183"/>
      <c r="C39" s="183"/>
      <c r="D39" s="183"/>
    </row>
    <row r="40" spans="1:4" ht="18.75" customHeight="1" x14ac:dyDescent="0.2">
      <c r="A40" s="183"/>
      <c r="B40" s="183"/>
      <c r="C40" s="183"/>
      <c r="D40" s="183"/>
    </row>
    <row r="41" spans="1:4" ht="18.75" customHeight="1" x14ac:dyDescent="0.2">
      <c r="A41" s="183"/>
      <c r="B41" s="183"/>
      <c r="C41" s="183"/>
      <c r="D41" s="183"/>
    </row>
    <row r="42" spans="1:4" ht="18.75" customHeight="1" x14ac:dyDescent="0.2">
      <c r="A42" s="183"/>
      <c r="B42" s="183"/>
      <c r="C42" s="183"/>
      <c r="D42" s="183"/>
    </row>
    <row r="43" spans="1:4" ht="18.75" customHeight="1" x14ac:dyDescent="0.2">
      <c r="A43" s="183"/>
      <c r="B43" s="183"/>
      <c r="C43" s="183"/>
      <c r="D43" s="183"/>
    </row>
    <row r="44" spans="1:4" ht="18.75" customHeight="1" x14ac:dyDescent="0.2">
      <c r="A44" s="183"/>
      <c r="B44" s="183"/>
      <c r="C44" s="183"/>
      <c r="D44" s="183"/>
    </row>
    <row r="45" spans="1:4" ht="18.75" customHeight="1" x14ac:dyDescent="0.2">
      <c r="A45" s="183"/>
      <c r="B45" s="183"/>
      <c r="C45" s="183"/>
      <c r="D45" s="183"/>
    </row>
    <row r="46" spans="1:4" ht="18.75" customHeight="1" x14ac:dyDescent="0.2">
      <c r="A46" s="183"/>
      <c r="B46" s="183"/>
      <c r="C46" s="183"/>
      <c r="D46" s="183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57" style="225" customWidth="1"/>
    <col min="2" max="2" width="11.5703125" style="225" hidden="1" customWidth="1"/>
    <col min="3" max="4" width="10.7109375" style="225" hidden="1" customWidth="1"/>
    <col min="5" max="8" width="12.7109375" style="225" hidden="1" customWidth="1"/>
    <col min="9" max="11" width="12.5703125" style="225" bestFit="1" customWidth="1"/>
    <col min="12" max="16384" width="8.85546875" style="225"/>
  </cols>
  <sheetData>
    <row r="1" spans="1:11" s="221" customFormat="1" ht="22.5" customHeight="1" x14ac:dyDescent="0.2">
      <c r="A1" s="630" t="s">
        <v>487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s="223" customFormat="1" ht="25.5" customHeight="1" x14ac:dyDescent="0.2">
      <c r="A2" s="222"/>
      <c r="B2" s="413">
        <v>2010</v>
      </c>
      <c r="C2" s="413">
        <v>2013</v>
      </c>
      <c r="D2" s="609">
        <v>2014</v>
      </c>
      <c r="E2" s="609">
        <v>2015</v>
      </c>
      <c r="F2" s="609">
        <v>2016</v>
      </c>
      <c r="G2" s="609">
        <v>2017</v>
      </c>
      <c r="H2" s="609">
        <v>2018</v>
      </c>
      <c r="I2" s="609">
        <v>2019</v>
      </c>
      <c r="J2" s="609">
        <v>2020</v>
      </c>
      <c r="K2" s="609">
        <v>2021</v>
      </c>
    </row>
    <row r="3" spans="1:11" s="224" customFormat="1" x14ac:dyDescent="0.2">
      <c r="A3" s="468" t="s">
        <v>115</v>
      </c>
      <c r="B3" s="469"/>
      <c r="C3" s="469"/>
      <c r="D3" s="470"/>
      <c r="E3" s="470"/>
      <c r="F3" s="470"/>
      <c r="G3" s="470"/>
      <c r="H3" s="470"/>
      <c r="I3" s="470"/>
      <c r="J3" s="470"/>
      <c r="K3" s="470"/>
    </row>
    <row r="4" spans="1:11" hidden="1" x14ac:dyDescent="0.2">
      <c r="A4" s="471" t="s">
        <v>203</v>
      </c>
      <c r="B4" s="472">
        <v>300</v>
      </c>
      <c r="C4" s="473">
        <v>275</v>
      </c>
      <c r="D4" s="473">
        <v>600</v>
      </c>
      <c r="E4" s="473" t="s">
        <v>486</v>
      </c>
      <c r="F4" s="473" t="s">
        <v>486</v>
      </c>
      <c r="G4" s="473" t="s">
        <v>486</v>
      </c>
      <c r="H4" s="473" t="s">
        <v>486</v>
      </c>
      <c r="I4" s="473" t="s">
        <v>486</v>
      </c>
      <c r="J4" s="473" t="s">
        <v>486</v>
      </c>
      <c r="K4" s="473" t="s">
        <v>486</v>
      </c>
    </row>
    <row r="5" spans="1:11" hidden="1" x14ac:dyDescent="0.2">
      <c r="A5" s="471" t="s">
        <v>204</v>
      </c>
      <c r="B5" s="472">
        <v>250</v>
      </c>
      <c r="C5" s="473">
        <v>500</v>
      </c>
      <c r="D5" s="473">
        <v>800</v>
      </c>
      <c r="E5" s="473" t="s">
        <v>486</v>
      </c>
      <c r="F5" s="473" t="s">
        <v>486</v>
      </c>
      <c r="G5" s="473" t="s">
        <v>486</v>
      </c>
      <c r="H5" s="473" t="s">
        <v>486</v>
      </c>
      <c r="I5" s="473" t="s">
        <v>486</v>
      </c>
      <c r="J5" s="473" t="s">
        <v>486</v>
      </c>
      <c r="K5" s="473" t="s">
        <v>486</v>
      </c>
    </row>
    <row r="6" spans="1:11" x14ac:dyDescent="0.2">
      <c r="A6" s="471" t="s">
        <v>280</v>
      </c>
      <c r="B6" s="472">
        <v>1000</v>
      </c>
      <c r="C6" s="473">
        <v>3000</v>
      </c>
      <c r="D6" s="473">
        <v>5000</v>
      </c>
      <c r="E6" s="473">
        <v>4000</v>
      </c>
      <c r="F6" s="719">
        <v>3500</v>
      </c>
      <c r="G6" s="719">
        <v>3500</v>
      </c>
      <c r="H6" s="719">
        <v>3500</v>
      </c>
      <c r="I6" s="719">
        <v>3500</v>
      </c>
      <c r="J6" s="719">
        <v>3500</v>
      </c>
      <c r="K6" s="719">
        <v>3000</v>
      </c>
    </row>
    <row r="7" spans="1:11" hidden="1" x14ac:dyDescent="0.2">
      <c r="A7" s="471" t="s">
        <v>91</v>
      </c>
      <c r="B7" s="472"/>
      <c r="C7" s="473">
        <v>500</v>
      </c>
      <c r="D7" s="473">
        <v>1000</v>
      </c>
      <c r="E7" s="473" t="s">
        <v>482</v>
      </c>
      <c r="F7" s="719" t="s">
        <v>482</v>
      </c>
      <c r="G7" s="719"/>
      <c r="H7" s="719"/>
      <c r="I7" s="719"/>
      <c r="J7" s="719"/>
      <c r="K7" s="719"/>
    </row>
    <row r="8" spans="1:11" hidden="1" x14ac:dyDescent="0.2">
      <c r="A8" s="471" t="s">
        <v>92</v>
      </c>
      <c r="B8" s="472">
        <v>1000</v>
      </c>
      <c r="C8" s="473">
        <v>400</v>
      </c>
      <c r="D8" s="473">
        <v>1000</v>
      </c>
      <c r="E8" s="473" t="s">
        <v>482</v>
      </c>
      <c r="F8" s="719" t="s">
        <v>482</v>
      </c>
      <c r="G8" s="719"/>
      <c r="H8" s="719"/>
      <c r="I8" s="719"/>
      <c r="J8" s="719"/>
      <c r="K8" s="719"/>
    </row>
    <row r="9" spans="1:11" hidden="1" x14ac:dyDescent="0.2">
      <c r="A9" s="471" t="s">
        <v>279</v>
      </c>
      <c r="B9" s="472">
        <v>1800</v>
      </c>
      <c r="C9" s="473">
        <v>2400</v>
      </c>
      <c r="D9" s="473">
        <v>2100</v>
      </c>
      <c r="E9" s="474" t="s">
        <v>483</v>
      </c>
      <c r="F9" s="720" t="s">
        <v>483</v>
      </c>
      <c r="G9" s="720"/>
      <c r="H9" s="720"/>
      <c r="I9" s="720"/>
      <c r="J9" s="720"/>
      <c r="K9" s="720"/>
    </row>
    <row r="10" spans="1:11" hidden="1" x14ac:dyDescent="0.2">
      <c r="A10" s="471" t="s">
        <v>278</v>
      </c>
      <c r="B10" s="472">
        <v>2440</v>
      </c>
      <c r="C10" s="473">
        <v>450</v>
      </c>
      <c r="D10" s="473">
        <v>700</v>
      </c>
      <c r="E10" s="473" t="s">
        <v>482</v>
      </c>
      <c r="F10" s="719" t="s">
        <v>482</v>
      </c>
      <c r="G10" s="719"/>
      <c r="H10" s="719"/>
      <c r="I10" s="719"/>
      <c r="J10" s="719"/>
      <c r="K10" s="719"/>
    </row>
    <row r="11" spans="1:11" hidden="1" x14ac:dyDescent="0.2">
      <c r="A11" s="471" t="s">
        <v>410</v>
      </c>
      <c r="B11" s="472"/>
      <c r="C11" s="473">
        <v>850</v>
      </c>
      <c r="D11" s="473">
        <v>850</v>
      </c>
      <c r="E11" s="473" t="s">
        <v>485</v>
      </c>
      <c r="F11" s="719" t="s">
        <v>485</v>
      </c>
      <c r="G11" s="719"/>
      <c r="H11" s="719"/>
      <c r="I11" s="719"/>
      <c r="J11" s="719"/>
      <c r="K11" s="719"/>
    </row>
    <row r="12" spans="1:11" hidden="1" x14ac:dyDescent="0.2">
      <c r="A12" s="471" t="s">
        <v>281</v>
      </c>
      <c r="B12" s="472">
        <v>2040</v>
      </c>
      <c r="C12" s="473"/>
      <c r="D12" s="473">
        <v>1000</v>
      </c>
      <c r="E12" s="473" t="s">
        <v>482</v>
      </c>
      <c r="F12" s="719" t="s">
        <v>482</v>
      </c>
      <c r="G12" s="719"/>
      <c r="H12" s="719"/>
      <c r="I12" s="719"/>
      <c r="J12" s="719"/>
      <c r="K12" s="719"/>
    </row>
    <row r="13" spans="1:11" hidden="1" x14ac:dyDescent="0.2">
      <c r="A13" s="471" t="s">
        <v>323</v>
      </c>
      <c r="B13" s="472">
        <v>2280</v>
      </c>
      <c r="C13" s="473"/>
      <c r="D13" s="473">
        <v>1000</v>
      </c>
      <c r="E13" s="473" t="s">
        <v>482</v>
      </c>
      <c r="F13" s="719" t="s">
        <v>482</v>
      </c>
      <c r="G13" s="719"/>
      <c r="H13" s="719"/>
      <c r="I13" s="719"/>
      <c r="J13" s="719"/>
      <c r="K13" s="719"/>
    </row>
    <row r="14" spans="1:11" x14ac:dyDescent="0.2">
      <c r="A14" s="471" t="s">
        <v>840</v>
      </c>
      <c r="B14" s="472">
        <v>3200</v>
      </c>
      <c r="C14" s="473">
        <v>1500</v>
      </c>
      <c r="D14" s="473">
        <v>1200</v>
      </c>
      <c r="E14" s="473" t="s">
        <v>486</v>
      </c>
      <c r="F14" s="719" t="s">
        <v>486</v>
      </c>
      <c r="G14" s="719"/>
      <c r="H14" s="719"/>
      <c r="I14" s="719">
        <v>0</v>
      </c>
      <c r="J14" s="719">
        <v>0</v>
      </c>
      <c r="K14" s="719">
        <v>1000</v>
      </c>
    </row>
    <row r="15" spans="1:11" x14ac:dyDescent="0.2">
      <c r="A15" s="471" t="s">
        <v>283</v>
      </c>
      <c r="B15" s="472">
        <v>4000</v>
      </c>
      <c r="C15" s="473">
        <v>4000</v>
      </c>
      <c r="D15" s="473">
        <v>4500</v>
      </c>
      <c r="E15" s="473">
        <v>4500</v>
      </c>
      <c r="F15" s="719">
        <v>5000</v>
      </c>
      <c r="G15" s="719">
        <v>6000</v>
      </c>
      <c r="H15" s="719">
        <v>8000</v>
      </c>
      <c r="I15" s="719">
        <v>8500</v>
      </c>
      <c r="J15" s="719">
        <v>8500</v>
      </c>
      <c r="K15" s="719">
        <v>8500</v>
      </c>
    </row>
    <row r="16" spans="1:11" hidden="1" x14ac:dyDescent="0.2">
      <c r="A16" s="471" t="s">
        <v>284</v>
      </c>
      <c r="B16" s="472">
        <v>1500</v>
      </c>
      <c r="C16" s="473"/>
      <c r="D16" s="473">
        <v>600</v>
      </c>
      <c r="E16" s="473" t="s">
        <v>485</v>
      </c>
      <c r="F16" s="719" t="s">
        <v>485</v>
      </c>
      <c r="G16" s="719"/>
      <c r="H16" s="719"/>
      <c r="I16" s="719"/>
      <c r="J16" s="719"/>
      <c r="K16" s="719"/>
    </row>
    <row r="17" spans="1:11" x14ac:dyDescent="0.2">
      <c r="A17" s="471" t="s">
        <v>282</v>
      </c>
      <c r="B17" s="472">
        <v>3000</v>
      </c>
      <c r="C17" s="473">
        <v>3000</v>
      </c>
      <c r="D17" s="473">
        <f>3000-1235</f>
        <v>1765</v>
      </c>
      <c r="E17" s="473">
        <v>3000</v>
      </c>
      <c r="F17" s="719">
        <v>3000</v>
      </c>
      <c r="G17" s="719">
        <v>4500</v>
      </c>
      <c r="H17" s="719">
        <v>4500</v>
      </c>
      <c r="I17" s="719">
        <v>4500</v>
      </c>
      <c r="J17" s="719">
        <v>4500</v>
      </c>
      <c r="K17" s="719">
        <v>4500</v>
      </c>
    </row>
    <row r="18" spans="1:11" hidden="1" x14ac:dyDescent="0.2">
      <c r="A18" s="471" t="s">
        <v>342</v>
      </c>
      <c r="B18" s="472">
        <v>1400</v>
      </c>
      <c r="C18" s="473">
        <v>4500</v>
      </c>
      <c r="D18" s="473">
        <v>3000</v>
      </c>
      <c r="E18" s="474" t="s">
        <v>483</v>
      </c>
      <c r="F18" s="720" t="s">
        <v>483</v>
      </c>
      <c r="G18" s="720"/>
      <c r="H18" s="720"/>
      <c r="I18" s="720"/>
      <c r="J18" s="720"/>
      <c r="K18" s="720"/>
    </row>
    <row r="19" spans="1:11" hidden="1" x14ac:dyDescent="0.2">
      <c r="A19" s="471" t="s">
        <v>480</v>
      </c>
      <c r="B19" s="472">
        <v>1400</v>
      </c>
      <c r="C19" s="474">
        <v>3000</v>
      </c>
      <c r="D19" s="474">
        <v>1500</v>
      </c>
      <c r="E19" s="474" t="s">
        <v>483</v>
      </c>
      <c r="F19" s="720" t="s">
        <v>483</v>
      </c>
      <c r="G19" s="720"/>
      <c r="H19" s="720"/>
      <c r="I19" s="720"/>
      <c r="J19" s="720"/>
      <c r="K19" s="720"/>
    </row>
    <row r="20" spans="1:11" hidden="1" x14ac:dyDescent="0.2">
      <c r="A20" s="471" t="s">
        <v>343</v>
      </c>
      <c r="B20" s="472"/>
      <c r="C20" s="474">
        <v>2500</v>
      </c>
      <c r="D20" s="474">
        <v>2500</v>
      </c>
      <c r="E20" s="474" t="s">
        <v>483</v>
      </c>
      <c r="F20" s="720" t="s">
        <v>483</v>
      </c>
      <c r="G20" s="720"/>
      <c r="H20" s="720"/>
      <c r="I20" s="720"/>
      <c r="J20" s="720"/>
      <c r="K20" s="720"/>
    </row>
    <row r="21" spans="1:11" hidden="1" x14ac:dyDescent="0.2">
      <c r="A21" s="471" t="s">
        <v>344</v>
      </c>
      <c r="B21" s="472"/>
      <c r="C21" s="474">
        <v>4000</v>
      </c>
      <c r="D21" s="474">
        <v>4000</v>
      </c>
      <c r="E21" s="474" t="s">
        <v>483</v>
      </c>
      <c r="F21" s="720" t="s">
        <v>483</v>
      </c>
      <c r="G21" s="720"/>
      <c r="H21" s="720"/>
      <c r="I21" s="720"/>
      <c r="J21" s="720"/>
      <c r="K21" s="720"/>
    </row>
    <row r="22" spans="1:11" x14ac:dyDescent="0.2">
      <c r="A22" s="471" t="s">
        <v>345</v>
      </c>
      <c r="B22" s="475"/>
      <c r="C22" s="473">
        <v>4500</v>
      </c>
      <c r="D22" s="473">
        <v>3000</v>
      </c>
      <c r="E22" s="474">
        <v>2500</v>
      </c>
      <c r="F22" s="720">
        <v>2500</v>
      </c>
      <c r="G22" s="720">
        <v>2500</v>
      </c>
      <c r="H22" s="720">
        <v>2500</v>
      </c>
      <c r="I22" s="720">
        <v>2500</v>
      </c>
      <c r="J22" s="720">
        <v>2500</v>
      </c>
      <c r="K22" s="720">
        <v>2500</v>
      </c>
    </row>
    <row r="23" spans="1:11" x14ac:dyDescent="0.2">
      <c r="A23" s="939" t="s">
        <v>481</v>
      </c>
      <c r="B23" s="472"/>
      <c r="C23" s="473">
        <v>900</v>
      </c>
      <c r="D23" s="473">
        <v>1500</v>
      </c>
      <c r="E23" s="473">
        <v>1500</v>
      </c>
      <c r="F23" s="719">
        <v>1500</v>
      </c>
      <c r="G23" s="719">
        <v>2500</v>
      </c>
      <c r="H23" s="719">
        <v>2500</v>
      </c>
      <c r="I23" s="719">
        <v>2500</v>
      </c>
      <c r="J23" s="719">
        <v>2500</v>
      </c>
      <c r="K23" s="719">
        <v>1500</v>
      </c>
    </row>
    <row r="24" spans="1:11" x14ac:dyDescent="0.2">
      <c r="A24" s="979" t="s">
        <v>841</v>
      </c>
      <c r="B24" s="472"/>
      <c r="C24" s="473"/>
      <c r="D24" s="473">
        <v>3000</v>
      </c>
      <c r="E24" s="473">
        <v>20000</v>
      </c>
      <c r="F24" s="719">
        <v>35000</v>
      </c>
      <c r="G24" s="719">
        <v>40000</v>
      </c>
      <c r="H24" s="719">
        <v>40000</v>
      </c>
      <c r="I24" s="719">
        <v>50000</v>
      </c>
      <c r="J24" s="719">
        <v>50000</v>
      </c>
      <c r="K24" s="719">
        <v>60000</v>
      </c>
    </row>
    <row r="25" spans="1:11" x14ac:dyDescent="0.2">
      <c r="A25" s="939" t="s">
        <v>694</v>
      </c>
      <c r="B25" s="472"/>
      <c r="C25" s="473"/>
      <c r="D25" s="473"/>
      <c r="E25" s="473">
        <v>4700</v>
      </c>
      <c r="F25" s="719">
        <v>2500</v>
      </c>
      <c r="G25" s="719">
        <v>1500</v>
      </c>
      <c r="H25" s="719">
        <v>1500</v>
      </c>
      <c r="I25" s="719">
        <v>1500</v>
      </c>
      <c r="J25" s="719">
        <v>1500</v>
      </c>
      <c r="K25" s="719">
        <v>1500</v>
      </c>
    </row>
    <row r="26" spans="1:11" x14ac:dyDescent="0.2">
      <c r="A26" s="939" t="s">
        <v>842</v>
      </c>
      <c r="B26" s="472"/>
      <c r="C26" s="473"/>
      <c r="D26" s="473"/>
      <c r="E26" s="473">
        <v>13100</v>
      </c>
      <c r="F26" s="719">
        <v>11000</v>
      </c>
      <c r="G26" s="719">
        <v>11000</v>
      </c>
      <c r="H26" s="719">
        <v>11000</v>
      </c>
      <c r="I26" s="719">
        <v>12000</v>
      </c>
      <c r="J26" s="719">
        <v>15000</v>
      </c>
      <c r="K26" s="719">
        <v>15000</v>
      </c>
    </row>
    <row r="27" spans="1:11" x14ac:dyDescent="0.2">
      <c r="A27" s="939" t="s">
        <v>484</v>
      </c>
      <c r="B27" s="472"/>
      <c r="C27" s="473"/>
      <c r="D27" s="473"/>
      <c r="E27" s="473">
        <v>1450</v>
      </c>
      <c r="F27" s="719">
        <f>(40*25)+600</f>
        <v>1600</v>
      </c>
      <c r="G27" s="719">
        <v>2000</v>
      </c>
      <c r="H27" s="719">
        <v>2000</v>
      </c>
      <c r="I27" s="719">
        <v>2500</v>
      </c>
      <c r="J27" s="719">
        <v>2500</v>
      </c>
      <c r="K27" s="719">
        <v>1500</v>
      </c>
    </row>
    <row r="28" spans="1:11" x14ac:dyDescent="0.2">
      <c r="A28" s="939" t="s">
        <v>690</v>
      </c>
      <c r="B28" s="472"/>
      <c r="C28" s="473"/>
      <c r="D28" s="473"/>
      <c r="E28" s="473">
        <v>3900</v>
      </c>
      <c r="F28" s="719">
        <v>5000</v>
      </c>
      <c r="G28" s="719">
        <v>5000</v>
      </c>
      <c r="H28" s="719">
        <v>7000</v>
      </c>
      <c r="I28" s="719">
        <v>10000</v>
      </c>
      <c r="J28" s="719">
        <v>10000</v>
      </c>
      <c r="K28" s="719">
        <v>10000</v>
      </c>
    </row>
    <row r="29" spans="1:11" hidden="1" x14ac:dyDescent="0.2">
      <c r="A29" s="939" t="s">
        <v>530</v>
      </c>
      <c r="B29" s="472"/>
      <c r="C29" s="473"/>
      <c r="D29" s="473"/>
      <c r="E29" s="473"/>
      <c r="F29" s="719">
        <v>2800</v>
      </c>
      <c r="G29" s="719">
        <v>0</v>
      </c>
      <c r="H29" s="719">
        <v>0</v>
      </c>
      <c r="I29" s="719">
        <v>0</v>
      </c>
      <c r="J29" s="719">
        <v>0</v>
      </c>
      <c r="K29" s="719">
        <v>0</v>
      </c>
    </row>
    <row r="30" spans="1:11" x14ac:dyDescent="0.2">
      <c r="A30" s="939" t="s">
        <v>691</v>
      </c>
      <c r="B30" s="472"/>
      <c r="C30" s="473"/>
      <c r="D30" s="473"/>
      <c r="E30" s="473"/>
      <c r="F30" s="719">
        <v>0</v>
      </c>
      <c r="G30" s="719">
        <v>6000</v>
      </c>
      <c r="H30" s="719">
        <v>7000</v>
      </c>
      <c r="I30" s="719">
        <v>8000</v>
      </c>
      <c r="J30" s="719">
        <f>(295*16)+(90)+(195*16)</f>
        <v>7930</v>
      </c>
      <c r="K30" s="719">
        <f>(295*2)+(90)+(195*2)</f>
        <v>1070</v>
      </c>
    </row>
    <row r="31" spans="1:11" hidden="1" x14ac:dyDescent="0.2">
      <c r="A31" s="939" t="s">
        <v>597</v>
      </c>
      <c r="B31" s="472"/>
      <c r="C31" s="473"/>
      <c r="D31" s="473"/>
      <c r="E31" s="473"/>
      <c r="F31" s="719">
        <v>0</v>
      </c>
      <c r="G31" s="719">
        <v>0</v>
      </c>
      <c r="H31" s="719">
        <f>6500+1250+275</f>
        <v>8025</v>
      </c>
      <c r="I31" s="719">
        <v>0</v>
      </c>
      <c r="J31" s="719">
        <v>0</v>
      </c>
      <c r="K31" s="719">
        <v>0</v>
      </c>
    </row>
    <row r="32" spans="1:11" hidden="1" x14ac:dyDescent="0.2">
      <c r="A32" s="939" t="s">
        <v>692</v>
      </c>
      <c r="B32" s="472"/>
      <c r="C32" s="473"/>
      <c r="D32" s="473"/>
      <c r="E32" s="473"/>
      <c r="F32" s="719"/>
      <c r="G32" s="719"/>
      <c r="H32" s="719">
        <v>10000</v>
      </c>
      <c r="I32" s="719">
        <v>0</v>
      </c>
      <c r="J32" s="719">
        <v>0</v>
      </c>
      <c r="K32" s="719">
        <v>0</v>
      </c>
    </row>
    <row r="33" spans="1:11" x14ac:dyDescent="0.2">
      <c r="A33" s="939" t="s">
        <v>715</v>
      </c>
      <c r="B33" s="472"/>
      <c r="C33" s="473"/>
      <c r="D33" s="473"/>
      <c r="E33" s="473"/>
      <c r="F33" s="719"/>
      <c r="G33" s="719"/>
      <c r="H33" s="719">
        <v>0</v>
      </c>
      <c r="I33" s="719">
        <v>0</v>
      </c>
      <c r="J33" s="719">
        <f>12000+6000</f>
        <v>18000</v>
      </c>
      <c r="K33" s="719">
        <f>(12000+6000)*0.67</f>
        <v>12060</v>
      </c>
    </row>
    <row r="34" spans="1:11" x14ac:dyDescent="0.2">
      <c r="A34" s="939" t="s">
        <v>770</v>
      </c>
      <c r="B34" s="472"/>
      <c r="C34" s="473"/>
      <c r="D34" s="473"/>
      <c r="E34" s="473"/>
      <c r="F34" s="719"/>
      <c r="G34" s="719"/>
      <c r="H34" s="719">
        <v>0</v>
      </c>
      <c r="I34" s="719">
        <v>0</v>
      </c>
      <c r="J34" s="719">
        <v>1400</v>
      </c>
      <c r="K34" s="719">
        <v>0</v>
      </c>
    </row>
    <row r="35" spans="1:11" x14ac:dyDescent="0.2">
      <c r="A35" s="939" t="s">
        <v>771</v>
      </c>
      <c r="B35" s="472"/>
      <c r="C35" s="473"/>
      <c r="D35" s="473"/>
      <c r="E35" s="473"/>
      <c r="F35" s="719"/>
      <c r="G35" s="719"/>
      <c r="H35" s="719">
        <v>0</v>
      </c>
      <c r="I35" s="719">
        <v>0</v>
      </c>
      <c r="J35" s="719">
        <v>1100</v>
      </c>
      <c r="K35" s="719">
        <v>0</v>
      </c>
    </row>
    <row r="36" spans="1:11" x14ac:dyDescent="0.2">
      <c r="A36" s="939" t="s">
        <v>843</v>
      </c>
      <c r="B36" s="472"/>
      <c r="C36" s="473"/>
      <c r="D36" s="473"/>
      <c r="E36" s="473"/>
      <c r="F36" s="719"/>
      <c r="G36" s="719"/>
      <c r="H36" s="719"/>
      <c r="I36" s="719">
        <v>0</v>
      </c>
      <c r="J36" s="719">
        <v>0</v>
      </c>
      <c r="K36" s="719">
        <v>2200</v>
      </c>
    </row>
    <row r="37" spans="1:11" x14ac:dyDescent="0.2">
      <c r="A37" s="505"/>
      <c r="B37" s="472">
        <v>-22000</v>
      </c>
      <c r="C37" s="473"/>
      <c r="D37" s="473"/>
      <c r="E37" s="473"/>
      <c r="F37" s="719"/>
      <c r="G37" s="719"/>
      <c r="H37" s="719"/>
      <c r="I37" s="719"/>
      <c r="J37" s="719"/>
      <c r="K37" s="719"/>
    </row>
    <row r="38" spans="1:11" ht="17.25" thickBot="1" x14ac:dyDescent="0.25">
      <c r="A38" s="485" t="s">
        <v>113</v>
      </c>
      <c r="B38" s="824">
        <f t="shared" ref="B38:J38" si="0">SUM(B4:B37)</f>
        <v>3610</v>
      </c>
      <c r="C38" s="824">
        <f t="shared" si="0"/>
        <v>36275</v>
      </c>
      <c r="D38" s="824">
        <f t="shared" si="0"/>
        <v>40615</v>
      </c>
      <c r="E38" s="824">
        <f t="shared" si="0"/>
        <v>58650</v>
      </c>
      <c r="F38" s="825">
        <f t="shared" si="0"/>
        <v>73400</v>
      </c>
      <c r="G38" s="825">
        <f t="shared" si="0"/>
        <v>84500</v>
      </c>
      <c r="H38" s="825">
        <f t="shared" si="0"/>
        <v>107525</v>
      </c>
      <c r="I38" s="825">
        <f t="shared" si="0"/>
        <v>105500</v>
      </c>
      <c r="J38" s="825">
        <f t="shared" si="0"/>
        <v>128930</v>
      </c>
      <c r="K38" s="825">
        <f t="shared" ref="K38" si="1">SUM(K4:K37)</f>
        <v>124330</v>
      </c>
    </row>
    <row r="39" spans="1:11" ht="17.25" thickTop="1" x14ac:dyDescent="0.2"/>
    <row r="40" spans="1:11" x14ac:dyDescent="0.2">
      <c r="A40" s="938"/>
    </row>
    <row r="41" spans="1:11" x14ac:dyDescent="0.2">
      <c r="A41" s="938"/>
    </row>
  </sheetData>
  <sortState ref="A30:E54">
    <sortCondition ref="A30:A54"/>
  </sortState>
  <phoneticPr fontId="20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95" customWidth="1"/>
    <col min="2" max="2" width="43.140625" style="58" customWidth="1"/>
    <col min="3" max="7" width="12" style="24" hidden="1" customWidth="1"/>
    <col min="8" max="8" width="12.85546875" style="24" hidden="1" customWidth="1"/>
    <col min="9" max="9" width="13.140625" style="24" hidden="1" customWidth="1"/>
    <col min="10" max="11" width="13.140625" style="24" customWidth="1"/>
    <col min="12" max="12" width="13.42578125" style="24" bestFit="1" customWidth="1"/>
    <col min="13" max="13" width="13.28515625" style="24" bestFit="1" customWidth="1"/>
    <col min="14" max="14" width="12.85546875" style="24" bestFit="1" customWidth="1"/>
    <col min="15" max="16384" width="11.140625" style="24"/>
  </cols>
  <sheetData>
    <row r="1" spans="1:15" s="91" customFormat="1" ht="18.75" customHeight="1" x14ac:dyDescent="0.3">
      <c r="A1" s="493"/>
      <c r="B1" s="494" t="s">
        <v>446</v>
      </c>
      <c r="C1" s="494" t="s">
        <v>413</v>
      </c>
      <c r="D1" s="494" t="s">
        <v>414</v>
      </c>
      <c r="E1" s="494"/>
      <c r="F1" s="494"/>
      <c r="G1" s="494"/>
      <c r="H1" s="494"/>
      <c r="I1" s="494"/>
      <c r="J1" s="494"/>
      <c r="K1" s="956"/>
      <c r="L1" s="956"/>
    </row>
    <row r="2" spans="1:15" s="91" customFormat="1" ht="18.75" customHeight="1" x14ac:dyDescent="0.3">
      <c r="A2" s="854"/>
      <c r="B2" s="855" t="s">
        <v>115</v>
      </c>
      <c r="C2" s="856">
        <v>2010</v>
      </c>
      <c r="D2" s="856">
        <v>2013</v>
      </c>
      <c r="E2" s="857">
        <v>2014</v>
      </c>
      <c r="F2" s="857">
        <v>2015</v>
      </c>
      <c r="G2" s="857">
        <v>2016</v>
      </c>
      <c r="H2" s="857">
        <v>2017</v>
      </c>
      <c r="I2" s="857">
        <v>2018</v>
      </c>
      <c r="J2" s="936">
        <v>2019</v>
      </c>
      <c r="K2" s="857">
        <v>2020</v>
      </c>
      <c r="L2" s="857">
        <v>2021</v>
      </c>
      <c r="N2" s="91" t="s">
        <v>653</v>
      </c>
    </row>
    <row r="3" spans="1:15" s="249" customFormat="1" ht="24.95" customHeight="1" x14ac:dyDescent="0.3">
      <c r="A3" s="124">
        <v>407</v>
      </c>
      <c r="B3" s="32" t="s">
        <v>190</v>
      </c>
      <c r="C3" s="858">
        <v>6797.47</v>
      </c>
      <c r="D3" s="859">
        <v>7500</v>
      </c>
      <c r="E3" s="860">
        <v>15200</v>
      </c>
      <c r="F3" s="860">
        <v>11100</v>
      </c>
      <c r="G3" s="860">
        <v>8700</v>
      </c>
      <c r="H3" s="860">
        <f>4050*2</f>
        <v>8100</v>
      </c>
      <c r="I3" s="860">
        <f>4050*2</f>
        <v>8100</v>
      </c>
      <c r="J3" s="709">
        <f>18800*2</f>
        <v>37600</v>
      </c>
      <c r="K3" s="853">
        <f>(66000*2)-40000</f>
        <v>92000</v>
      </c>
      <c r="L3" s="853">
        <v>80000</v>
      </c>
      <c r="M3" s="639"/>
      <c r="N3" s="942">
        <f>L3/L24</f>
        <v>1.0123046246658563E-2</v>
      </c>
    </row>
    <row r="4" spans="1:15" s="91" customFormat="1" ht="31.5" customHeight="1" x14ac:dyDescent="0.3">
      <c r="A4" s="124" t="s">
        <v>81</v>
      </c>
      <c r="B4" s="861" t="s">
        <v>828</v>
      </c>
      <c r="C4" s="803">
        <v>2079268.31</v>
      </c>
      <c r="D4" s="862">
        <v>2024884</v>
      </c>
      <c r="E4" s="787">
        <v>2073137</v>
      </c>
      <c r="F4" s="787">
        <v>2140914</v>
      </c>
      <c r="G4" s="787">
        <f>25855208.63*0.09</f>
        <v>2326968.7766999998</v>
      </c>
      <c r="H4" s="787">
        <f>28818430.97*0.1</f>
        <v>2881843.0970000001</v>
      </c>
      <c r="I4" s="787">
        <f>30191851.95*0.1</f>
        <v>3019185.1950000003</v>
      </c>
      <c r="J4" s="709">
        <f>32812364.67*0.0975</f>
        <v>3199205.5553250001</v>
      </c>
      <c r="K4" s="709">
        <f>35053870.41*0.08</f>
        <v>2804309.6327999998</v>
      </c>
      <c r="L4" s="709">
        <f>36178493.88*0.08</f>
        <v>2894279.5104000005</v>
      </c>
      <c r="M4" s="981"/>
      <c r="N4" s="942">
        <f>L4/L24</f>
        <v>0.36623656668169391</v>
      </c>
    </row>
    <row r="5" spans="1:15" s="91" customFormat="1" ht="24.95" hidden="1" customHeight="1" x14ac:dyDescent="0.3">
      <c r="A5" s="124" t="s">
        <v>82</v>
      </c>
      <c r="B5" s="32" t="s">
        <v>84</v>
      </c>
      <c r="C5" s="633">
        <v>17084.2</v>
      </c>
      <c r="D5" s="863">
        <v>10175</v>
      </c>
      <c r="E5" s="634"/>
      <c r="F5" s="634"/>
      <c r="G5" s="634"/>
      <c r="H5" s="634"/>
      <c r="I5" s="634"/>
      <c r="J5" s="985"/>
      <c r="K5" s="986">
        <v>0</v>
      </c>
      <c r="L5" s="986">
        <v>0</v>
      </c>
      <c r="M5" s="981"/>
    </row>
    <row r="6" spans="1:15" s="91" customFormat="1" ht="24.95" hidden="1" customHeight="1" x14ac:dyDescent="0.3">
      <c r="A6" s="124" t="s">
        <v>83</v>
      </c>
      <c r="B6" s="32" t="s">
        <v>74</v>
      </c>
      <c r="C6" s="635">
        <v>384.14</v>
      </c>
      <c r="D6" s="864"/>
      <c r="E6" s="636"/>
      <c r="F6" s="636"/>
      <c r="G6" s="636"/>
      <c r="H6" s="636"/>
      <c r="I6" s="636"/>
      <c r="J6" s="935"/>
      <c r="K6" s="980">
        <v>0</v>
      </c>
      <c r="L6" s="980">
        <v>0</v>
      </c>
      <c r="M6" s="981"/>
      <c r="N6" s="942"/>
    </row>
    <row r="7" spans="1:15" s="91" customFormat="1" ht="24.95" customHeight="1" x14ac:dyDescent="0.3">
      <c r="A7" s="124">
        <v>415</v>
      </c>
      <c r="B7" s="32" t="s">
        <v>85</v>
      </c>
      <c r="C7" s="858">
        <v>1593158.56</v>
      </c>
      <c r="D7" s="865">
        <v>1644578</v>
      </c>
      <c r="E7" s="860">
        <v>1685692</v>
      </c>
      <c r="F7" s="860">
        <v>2187099</v>
      </c>
      <c r="G7" s="860">
        <f>2191383+200000</f>
        <v>2391383</v>
      </c>
      <c r="H7" s="860">
        <f>G7*1.04</f>
        <v>2487038.3200000003</v>
      </c>
      <c r="I7" s="860">
        <f>H7*1.045</f>
        <v>2598955.0444</v>
      </c>
      <c r="J7" s="709">
        <f>(I7*1.05)-(675000*0.75)-(46000*0.85)</f>
        <v>2183552.7966200002</v>
      </c>
      <c r="K7" s="709">
        <v>3027730</v>
      </c>
      <c r="L7" s="709">
        <f>((K7)*1)</f>
        <v>3027730</v>
      </c>
      <c r="M7" s="640"/>
      <c r="N7" s="942">
        <f>L7/L24</f>
        <v>0.38312313515494417</v>
      </c>
      <c r="O7" s="629"/>
    </row>
    <row r="8" spans="1:15" s="91" customFormat="1" ht="24.95" customHeight="1" x14ac:dyDescent="0.3">
      <c r="A8" s="124">
        <v>435</v>
      </c>
      <c r="B8" s="32" t="s">
        <v>75</v>
      </c>
      <c r="C8" s="803">
        <v>2650</v>
      </c>
      <c r="D8" s="862">
        <v>2900</v>
      </c>
      <c r="E8" s="787">
        <v>2900</v>
      </c>
      <c r="F8" s="787">
        <v>3600</v>
      </c>
      <c r="G8" s="787">
        <v>3600</v>
      </c>
      <c r="H8" s="787">
        <v>3600</v>
      </c>
      <c r="I8" s="787">
        <v>3600</v>
      </c>
      <c r="J8" s="709">
        <f>1500*2</f>
        <v>3000</v>
      </c>
      <c r="K8" s="709">
        <f>3000</f>
        <v>3000</v>
      </c>
      <c r="L8" s="709">
        <f>3000</f>
        <v>3000</v>
      </c>
      <c r="M8" s="1037">
        <f>SUM(L8:L9)</f>
        <v>38000</v>
      </c>
      <c r="N8" s="942">
        <f>L8/L24</f>
        <v>3.7961423424969615E-4</v>
      </c>
    </row>
    <row r="9" spans="1:15" s="91" customFormat="1" ht="24.95" customHeight="1" x14ac:dyDescent="0.3">
      <c r="A9" s="124">
        <v>435</v>
      </c>
      <c r="B9" s="32" t="s">
        <v>76</v>
      </c>
      <c r="C9" s="633">
        <v>1490</v>
      </c>
      <c r="D9" s="863">
        <v>10000</v>
      </c>
      <c r="E9" s="634">
        <v>7000</v>
      </c>
      <c r="F9" s="634">
        <f>5000+3000</f>
        <v>8000</v>
      </c>
      <c r="G9" s="634">
        <v>8000</v>
      </c>
      <c r="H9" s="634">
        <v>10000</v>
      </c>
      <c r="I9" s="634">
        <v>10000</v>
      </c>
      <c r="J9" s="709">
        <f>3300*2</f>
        <v>6600</v>
      </c>
      <c r="K9" s="709">
        <f>35000</f>
        <v>35000</v>
      </c>
      <c r="L9" s="709">
        <f>35000</f>
        <v>35000</v>
      </c>
      <c r="M9" s="1038"/>
      <c r="N9" s="942">
        <f>L9/L24</f>
        <v>4.4288327329131214E-3</v>
      </c>
    </row>
    <row r="10" spans="1:15" s="91" customFormat="1" ht="24.95" hidden="1" customHeight="1" x14ac:dyDescent="0.3">
      <c r="A10" s="124">
        <v>450</v>
      </c>
      <c r="B10" s="32" t="s">
        <v>389</v>
      </c>
      <c r="C10" s="635">
        <v>448</v>
      </c>
      <c r="D10" s="864">
        <v>500</v>
      </c>
      <c r="E10" s="636">
        <v>200</v>
      </c>
      <c r="F10" s="636">
        <v>200</v>
      </c>
      <c r="G10" s="636">
        <v>100</v>
      </c>
      <c r="H10" s="636">
        <v>0</v>
      </c>
      <c r="I10" s="636">
        <v>0</v>
      </c>
      <c r="J10" s="709"/>
      <c r="K10" s="709">
        <v>0</v>
      </c>
      <c r="L10" s="709">
        <v>0</v>
      </c>
      <c r="M10" s="1039"/>
      <c r="N10" s="942">
        <f>K10/K24</f>
        <v>0</v>
      </c>
    </row>
    <row r="11" spans="1:15" s="91" customFormat="1" ht="24.95" customHeight="1" x14ac:dyDescent="0.3">
      <c r="A11" s="124">
        <v>460</v>
      </c>
      <c r="B11" s="32" t="s">
        <v>215</v>
      </c>
      <c r="C11" s="803">
        <v>450</v>
      </c>
      <c r="D11" s="866">
        <v>4000</v>
      </c>
      <c r="E11" s="787">
        <v>4000</v>
      </c>
      <c r="F11" s="787">
        <v>2000</v>
      </c>
      <c r="G11" s="787">
        <v>2000</v>
      </c>
      <c r="H11" s="787">
        <v>2000</v>
      </c>
      <c r="I11" s="787">
        <v>2000</v>
      </c>
      <c r="J11" s="709">
        <v>200</v>
      </c>
      <c r="K11" s="709">
        <v>8000</v>
      </c>
      <c r="L11" s="709">
        <v>8000</v>
      </c>
      <c r="M11" s="1037">
        <f>SUM(L11:L13)</f>
        <v>108750</v>
      </c>
      <c r="N11" s="942">
        <f>L11/L24</f>
        <v>1.0123046246658565E-3</v>
      </c>
    </row>
    <row r="12" spans="1:15" s="91" customFormat="1" ht="24.95" customHeight="1" x14ac:dyDescent="0.3">
      <c r="A12" s="124">
        <v>470</v>
      </c>
      <c r="B12" s="861" t="s">
        <v>545</v>
      </c>
      <c r="C12" s="633">
        <v>124555</v>
      </c>
      <c r="D12" s="867">
        <v>144000</v>
      </c>
      <c r="E12" s="634">
        <v>147600</v>
      </c>
      <c r="F12" s="634">
        <f>30*4050</f>
        <v>121500</v>
      </c>
      <c r="G12" s="634">
        <f>28*4050</f>
        <v>113400</v>
      </c>
      <c r="H12" s="634">
        <v>97200</v>
      </c>
      <c r="I12" s="634">
        <v>97200</v>
      </c>
      <c r="J12" s="709">
        <v>76750</v>
      </c>
      <c r="K12" s="709">
        <v>76750</v>
      </c>
      <c r="L12" s="709">
        <v>76750</v>
      </c>
      <c r="M12" s="1038"/>
      <c r="N12" s="942">
        <f>L12/L24</f>
        <v>9.7117974928880597E-3</v>
      </c>
    </row>
    <row r="13" spans="1:15" s="91" customFormat="1" ht="30" customHeight="1" x14ac:dyDescent="0.3">
      <c r="A13" s="124">
        <v>471</v>
      </c>
      <c r="B13" s="861" t="s">
        <v>829</v>
      </c>
      <c r="C13" s="635">
        <v>34455.75</v>
      </c>
      <c r="D13" s="868">
        <v>42000</v>
      </c>
      <c r="E13" s="636">
        <v>49200</v>
      </c>
      <c r="F13" s="636">
        <f>48*1100</f>
        <v>52800</v>
      </c>
      <c r="G13" s="636">
        <f>48*1100</f>
        <v>52800</v>
      </c>
      <c r="H13" s="636">
        <v>35200</v>
      </c>
      <c r="I13" s="636">
        <v>35200</v>
      </c>
      <c r="J13" s="709">
        <v>24000</v>
      </c>
      <c r="K13" s="709">
        <v>24000</v>
      </c>
      <c r="L13" s="709">
        <v>24000</v>
      </c>
      <c r="M13" s="1039"/>
      <c r="N13" s="942">
        <f>L13/L24</f>
        <v>3.0369138739975692E-3</v>
      </c>
    </row>
    <row r="14" spans="1:15" s="91" customFormat="1" ht="30" hidden="1" customHeight="1" x14ac:dyDescent="0.3">
      <c r="A14" s="124">
        <v>475</v>
      </c>
      <c r="B14" s="861" t="s">
        <v>77</v>
      </c>
      <c r="C14" s="708">
        <v>6488.95</v>
      </c>
      <c r="D14" s="859">
        <v>10100</v>
      </c>
      <c r="E14" s="860">
        <v>15000</v>
      </c>
      <c r="F14" s="860"/>
      <c r="G14" s="860"/>
      <c r="H14" s="860"/>
      <c r="I14" s="860"/>
      <c r="J14" s="709"/>
      <c r="K14" s="709"/>
      <c r="L14" s="709"/>
      <c r="M14" s="640"/>
      <c r="N14" s="942" t="e">
        <f>K14/J35</f>
        <v>#DIV/0!</v>
      </c>
    </row>
    <row r="15" spans="1:15" s="91" customFormat="1" ht="24.95" customHeight="1" x14ac:dyDescent="0.3">
      <c r="A15" s="124">
        <v>477</v>
      </c>
      <c r="B15" s="32" t="s">
        <v>216</v>
      </c>
      <c r="C15" s="803">
        <v>2500</v>
      </c>
      <c r="D15" s="866">
        <v>0</v>
      </c>
      <c r="E15" s="787"/>
      <c r="F15" s="787"/>
      <c r="G15" s="787"/>
      <c r="H15" s="787">
        <v>0</v>
      </c>
      <c r="I15" s="787">
        <v>0</v>
      </c>
      <c r="J15" s="709">
        <v>0</v>
      </c>
      <c r="K15" s="709">
        <v>0</v>
      </c>
      <c r="L15" s="709">
        <v>0</v>
      </c>
      <c r="M15" s="1037">
        <f>SUM(L15:L16)</f>
        <v>3500</v>
      </c>
      <c r="N15" s="942">
        <f>L15/L24</f>
        <v>0</v>
      </c>
    </row>
    <row r="16" spans="1:15" s="91" customFormat="1" ht="24.95" customHeight="1" x14ac:dyDescent="0.3">
      <c r="A16" s="124">
        <v>480</v>
      </c>
      <c r="B16" s="32" t="s">
        <v>212</v>
      </c>
      <c r="C16" s="635">
        <v>1250</v>
      </c>
      <c r="D16" s="864">
        <v>2500</v>
      </c>
      <c r="E16" s="636">
        <v>2500</v>
      </c>
      <c r="F16" s="636">
        <v>2500</v>
      </c>
      <c r="G16" s="636">
        <v>2500</v>
      </c>
      <c r="H16" s="636">
        <v>2500</v>
      </c>
      <c r="I16" s="636">
        <v>2500</v>
      </c>
      <c r="J16" s="709">
        <v>3500</v>
      </c>
      <c r="K16" s="709">
        <v>3500</v>
      </c>
      <c r="L16" s="709">
        <v>3500</v>
      </c>
      <c r="M16" s="1039"/>
      <c r="N16" s="942">
        <f>L16/L24</f>
        <v>4.428832732913122E-4</v>
      </c>
    </row>
    <row r="17" spans="1:14" s="91" customFormat="1" ht="24.95" customHeight="1" x14ac:dyDescent="0.3">
      <c r="A17" s="124">
        <v>485</v>
      </c>
      <c r="B17" s="32" t="s">
        <v>78</v>
      </c>
      <c r="C17" s="803">
        <v>124</v>
      </c>
      <c r="D17" s="862">
        <v>0</v>
      </c>
      <c r="E17" s="787">
        <v>300000</v>
      </c>
      <c r="F17" s="787"/>
      <c r="G17" s="787">
        <v>775000</v>
      </c>
      <c r="H17" s="787">
        <v>695000</v>
      </c>
      <c r="I17" s="787">
        <v>0</v>
      </c>
      <c r="J17" s="709">
        <v>0</v>
      </c>
      <c r="K17" s="709">
        <v>0</v>
      </c>
      <c r="L17" s="709">
        <v>0</v>
      </c>
      <c r="M17" s="1037">
        <f>SUM(L17:L21)</f>
        <v>1750500</v>
      </c>
      <c r="N17" s="942">
        <f>L17/L24</f>
        <v>0</v>
      </c>
    </row>
    <row r="18" spans="1:14" s="91" customFormat="1" ht="24.95" customHeight="1" x14ac:dyDescent="0.3">
      <c r="A18" s="124">
        <v>487</v>
      </c>
      <c r="B18" s="32" t="s">
        <v>549</v>
      </c>
      <c r="C18" s="869">
        <v>2280.4</v>
      </c>
      <c r="D18" s="863">
        <v>3400</v>
      </c>
      <c r="E18" s="634">
        <v>2200</v>
      </c>
      <c r="F18" s="634">
        <v>2400</v>
      </c>
      <c r="G18" s="634">
        <v>2000</v>
      </c>
      <c r="H18" s="634">
        <v>2000</v>
      </c>
      <c r="I18" s="634">
        <v>2000</v>
      </c>
      <c r="J18" s="709">
        <f>650*2</f>
        <v>1300</v>
      </c>
      <c r="K18" s="709">
        <f>800*2</f>
        <v>1600</v>
      </c>
      <c r="L18" s="709">
        <f>800*2</f>
        <v>1600</v>
      </c>
      <c r="M18" s="1038"/>
      <c r="N18" s="942">
        <f>L18/L24</f>
        <v>2.0246092493317127E-4</v>
      </c>
    </row>
    <row r="19" spans="1:14" s="91" customFormat="1" ht="24.95" customHeight="1" x14ac:dyDescent="0.3">
      <c r="A19" s="124">
        <v>490</v>
      </c>
      <c r="B19" s="32" t="s">
        <v>79</v>
      </c>
      <c r="C19" s="633">
        <v>6004.64</v>
      </c>
      <c r="D19" s="863">
        <v>0</v>
      </c>
      <c r="E19" s="634"/>
      <c r="F19" s="634"/>
      <c r="G19" s="634">
        <v>0</v>
      </c>
      <c r="H19" s="634">
        <v>0</v>
      </c>
      <c r="I19" s="634">
        <v>0</v>
      </c>
      <c r="J19" s="709">
        <v>0</v>
      </c>
      <c r="K19" s="709">
        <v>0</v>
      </c>
      <c r="L19" s="709">
        <v>0</v>
      </c>
      <c r="M19" s="1038"/>
      <c r="N19" s="942">
        <f>L19/L24</f>
        <v>0</v>
      </c>
    </row>
    <row r="20" spans="1:14" s="91" customFormat="1" ht="24.95" customHeight="1" x14ac:dyDescent="0.3">
      <c r="A20" s="124">
        <v>493</v>
      </c>
      <c r="B20" s="32" t="s">
        <v>330</v>
      </c>
      <c r="C20" s="633">
        <v>276.60000000000002</v>
      </c>
      <c r="D20" s="863">
        <v>0</v>
      </c>
      <c r="E20" s="634"/>
      <c r="F20" s="634"/>
      <c r="G20" s="634">
        <v>0</v>
      </c>
      <c r="H20" s="634">
        <v>0</v>
      </c>
      <c r="I20" s="634">
        <v>0</v>
      </c>
      <c r="J20" s="709">
        <v>0</v>
      </c>
      <c r="K20" s="709">
        <f>1748050-1400000</f>
        <v>348050</v>
      </c>
      <c r="L20" s="709">
        <f>'663 BOND DEBT SVC'!K15+1400000</f>
        <v>1743900</v>
      </c>
      <c r="M20" s="1038"/>
      <c r="N20" s="942">
        <f>L20/L24</f>
        <v>0.22066975436934838</v>
      </c>
    </row>
    <row r="21" spans="1:14" s="91" customFormat="1" ht="24.95" customHeight="1" x14ac:dyDescent="0.3">
      <c r="A21" s="124">
        <v>499</v>
      </c>
      <c r="B21" s="32" t="s">
        <v>80</v>
      </c>
      <c r="C21" s="635"/>
      <c r="D21" s="868">
        <v>55000</v>
      </c>
      <c r="E21" s="636">
        <v>80000</v>
      </c>
      <c r="F21" s="636"/>
      <c r="G21" s="636">
        <f>25000+5000</f>
        <v>30000</v>
      </c>
      <c r="H21" s="636">
        <v>0</v>
      </c>
      <c r="I21" s="636">
        <v>0</v>
      </c>
      <c r="J21" s="709">
        <v>0</v>
      </c>
      <c r="K21" s="709">
        <v>0</v>
      </c>
      <c r="L21" s="709">
        <v>5000</v>
      </c>
      <c r="M21" s="1039"/>
      <c r="N21" s="942">
        <f>L21/L24</f>
        <v>6.3269039041616022E-4</v>
      </c>
    </row>
    <row r="22" spans="1:14" s="91" customFormat="1" ht="24.95" hidden="1" customHeight="1" x14ac:dyDescent="0.3">
      <c r="A22" s="124">
        <v>495</v>
      </c>
      <c r="B22" s="870" t="s">
        <v>304</v>
      </c>
      <c r="C22" s="869">
        <v>0</v>
      </c>
      <c r="D22" s="859">
        <v>0</v>
      </c>
      <c r="E22" s="860"/>
      <c r="F22" s="860"/>
      <c r="G22" s="860"/>
      <c r="H22" s="860"/>
      <c r="I22" s="860"/>
      <c r="J22" s="934"/>
      <c r="K22" s="934"/>
      <c r="L22" s="934"/>
      <c r="M22" s="641"/>
    </row>
    <row r="23" spans="1:14" s="91" customFormat="1" ht="13.5" customHeight="1" thickBot="1" x14ac:dyDescent="0.35">
      <c r="A23" s="871"/>
      <c r="B23" s="872"/>
      <c r="C23" s="44"/>
      <c r="D23" s="859"/>
      <c r="E23" s="860"/>
      <c r="F23" s="860"/>
      <c r="G23" s="860"/>
      <c r="H23" s="860"/>
      <c r="I23" s="860"/>
      <c r="J23" s="937"/>
      <c r="K23" s="937"/>
      <c r="L23" s="937"/>
      <c r="M23" s="641"/>
    </row>
    <row r="24" spans="1:14" s="91" customFormat="1" ht="18.75" customHeight="1" thickTop="1" x14ac:dyDescent="0.3">
      <c r="A24" s="873"/>
      <c r="B24" s="217" t="s">
        <v>113</v>
      </c>
      <c r="C24" s="728">
        <f t="shared" ref="C24:I24" si="0">SUM(C3:C23)</f>
        <v>3879666.0200000005</v>
      </c>
      <c r="D24" s="817">
        <f t="shared" si="0"/>
        <v>3961537</v>
      </c>
      <c r="E24" s="728">
        <f t="shared" si="0"/>
        <v>4384629</v>
      </c>
      <c r="F24" s="728">
        <f t="shared" si="0"/>
        <v>4532113</v>
      </c>
      <c r="G24" s="728">
        <f t="shared" si="0"/>
        <v>5716451.7766999993</v>
      </c>
      <c r="H24" s="728">
        <f t="shared" ref="H24" si="1">SUM(H3:H23)</f>
        <v>6224481.4170000004</v>
      </c>
      <c r="I24" s="728">
        <f t="shared" si="0"/>
        <v>5778740.2394000003</v>
      </c>
      <c r="J24" s="728">
        <f>SUM(J3:J23)</f>
        <v>5535708.3519449998</v>
      </c>
      <c r="K24" s="728">
        <f>SUM(K3:K23)</f>
        <v>6423939.6327999998</v>
      </c>
      <c r="L24" s="728">
        <f>SUM(L3:L23)</f>
        <v>7902759.510400001</v>
      </c>
      <c r="M24" s="642"/>
    </row>
    <row r="25" spans="1:14" s="91" customFormat="1" ht="16.5" x14ac:dyDescent="0.3">
      <c r="A25" s="95"/>
      <c r="B25" s="16"/>
      <c r="C25" s="44"/>
      <c r="D25" s="44"/>
    </row>
    <row r="26" spans="1:14" ht="12.95" customHeight="1" x14ac:dyDescent="0.25">
      <c r="A26" s="24"/>
      <c r="B26" s="24"/>
    </row>
    <row r="27" spans="1:14" ht="18" customHeight="1" x14ac:dyDescent="0.25">
      <c r="A27" s="24"/>
      <c r="B27" s="24"/>
    </row>
    <row r="28" spans="1:14" ht="9" customHeight="1" x14ac:dyDescent="0.25">
      <c r="A28" s="24"/>
      <c r="B28" s="24"/>
    </row>
    <row r="29" spans="1:14" s="91" customFormat="1" ht="12.95" customHeight="1" x14ac:dyDescent="0.25"/>
    <row r="30" spans="1:14" ht="9" customHeight="1" x14ac:dyDescent="0.25">
      <c r="A30" s="24"/>
      <c r="B30" s="24"/>
    </row>
    <row r="31" spans="1:14" ht="12.95" customHeight="1" x14ac:dyDescent="0.25">
      <c r="A31" s="24"/>
      <c r="B31" s="24"/>
    </row>
    <row r="32" spans="1:14" ht="12.95" customHeight="1" x14ac:dyDescent="0.25">
      <c r="A32" s="24"/>
      <c r="B32" s="24"/>
    </row>
    <row r="33" spans="1:2" ht="12.95" customHeight="1" x14ac:dyDescent="0.25">
      <c r="A33" s="24"/>
      <c r="B33" s="24"/>
    </row>
    <row r="34" spans="1:2" ht="12.95" customHeight="1" x14ac:dyDescent="0.25">
      <c r="A34" s="24"/>
      <c r="B34" s="24"/>
    </row>
    <row r="35" spans="1:2" ht="12.95" customHeight="1" x14ac:dyDescent="0.25">
      <c r="A35" s="24"/>
      <c r="B35" s="24"/>
    </row>
    <row r="36" spans="1:2" ht="12.95" customHeight="1" x14ac:dyDescent="0.25">
      <c r="A36" s="24"/>
      <c r="B36" s="24"/>
    </row>
    <row r="37" spans="1:2" ht="18.75" customHeight="1" x14ac:dyDescent="0.25">
      <c r="A37" s="24"/>
      <c r="B37" s="24"/>
    </row>
    <row r="38" spans="1:2" ht="18.75" customHeight="1" x14ac:dyDescent="0.25">
      <c r="A38" s="24"/>
      <c r="B38" s="24"/>
    </row>
    <row r="39" spans="1:2" ht="18.75" customHeight="1" x14ac:dyDescent="0.25">
      <c r="A39" s="24"/>
      <c r="B39" s="24"/>
    </row>
    <row r="40" spans="1:2" ht="18.75" customHeight="1" x14ac:dyDescent="0.25">
      <c r="A40" s="24"/>
      <c r="B40" s="24"/>
    </row>
    <row r="41" spans="1:2" ht="18.75" customHeight="1" x14ac:dyDescent="0.25">
      <c r="A41" s="24"/>
      <c r="B41" s="24"/>
    </row>
    <row r="42" spans="1:2" ht="10.5" customHeight="1" x14ac:dyDescent="0.25">
      <c r="A42" s="24"/>
      <c r="B42" s="24"/>
    </row>
    <row r="43" spans="1:2" ht="18.75" customHeight="1" x14ac:dyDescent="0.25">
      <c r="A43" s="24"/>
      <c r="B43" s="24"/>
    </row>
    <row r="44" spans="1:2" ht="18.75" customHeight="1" x14ac:dyDescent="0.25">
      <c r="A44" s="24"/>
      <c r="B44" s="24"/>
    </row>
    <row r="45" spans="1:2" ht="18.75" customHeight="1" x14ac:dyDescent="0.25">
      <c r="A45" s="24"/>
      <c r="B45" s="24"/>
    </row>
    <row r="46" spans="1:2" ht="18.75" customHeight="1" x14ac:dyDescent="0.25">
      <c r="A46" s="24"/>
      <c r="B46" s="24"/>
    </row>
    <row r="47" spans="1:2" ht="18.75" customHeight="1" x14ac:dyDescent="0.25">
      <c r="A47" s="24"/>
      <c r="B47" s="24"/>
    </row>
    <row r="48" spans="1:2" ht="18.75" customHeight="1" x14ac:dyDescent="0.25">
      <c r="A48" s="24"/>
      <c r="B48" s="24"/>
    </row>
    <row r="49" spans="1:2" ht="18.75" customHeight="1" x14ac:dyDescent="0.25">
      <c r="A49" s="24"/>
      <c r="B49" s="24"/>
    </row>
    <row r="50" spans="1:2" ht="18.75" customHeight="1" x14ac:dyDescent="0.25">
      <c r="A50" s="24"/>
      <c r="B50" s="24"/>
    </row>
    <row r="51" spans="1:2" ht="18.75" customHeight="1" x14ac:dyDescent="0.25">
      <c r="A51" s="24"/>
      <c r="B51" s="24"/>
    </row>
    <row r="52" spans="1:2" ht="18.75" customHeight="1" x14ac:dyDescent="0.25">
      <c r="A52" s="24"/>
      <c r="B52" s="24"/>
    </row>
    <row r="53" spans="1:2" ht="18.75" customHeight="1" x14ac:dyDescent="0.25">
      <c r="A53" s="24"/>
      <c r="B53" s="24"/>
    </row>
    <row r="54" spans="1:2" ht="18.75" customHeight="1" x14ac:dyDescent="0.25">
      <c r="A54" s="24"/>
      <c r="B54" s="24"/>
    </row>
    <row r="55" spans="1:2" ht="18.75" customHeight="1" x14ac:dyDescent="0.25">
      <c r="A55" s="24"/>
      <c r="B55" s="24"/>
    </row>
  </sheetData>
  <mergeCells count="4">
    <mergeCell ref="M8:M10"/>
    <mergeCell ref="M11:M13"/>
    <mergeCell ref="M15:M16"/>
    <mergeCell ref="M17:M21"/>
  </mergeCells>
  <phoneticPr fontId="20" type="noConversion"/>
  <printOptions horizontalCentered="1"/>
  <pageMargins left="0.75" right="0.5" top="1" bottom="1" header="0.5" footer="0.5"/>
  <pageSetup scale="80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5.5703125" bestFit="1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8" width="10.28515625" hidden="1" customWidth="1"/>
    <col min="9" max="11" width="8.5703125" bestFit="1" customWidth="1"/>
    <col min="12" max="12" width="19.42578125" bestFit="1" customWidth="1"/>
  </cols>
  <sheetData>
    <row r="1" spans="1:12" ht="18.95" customHeight="1" x14ac:dyDescent="0.25">
      <c r="A1" s="256" t="s">
        <v>488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2" ht="18.95" customHeight="1" x14ac:dyDescent="0.3">
      <c r="A2" s="107" t="s">
        <v>115</v>
      </c>
      <c r="B2" s="107">
        <v>2010</v>
      </c>
      <c r="C2" s="107">
        <v>2013</v>
      </c>
      <c r="D2" s="107">
        <v>2014</v>
      </c>
      <c r="E2" s="107">
        <v>2015</v>
      </c>
      <c r="F2" s="107">
        <v>2016</v>
      </c>
      <c r="G2" s="107">
        <v>2017</v>
      </c>
      <c r="H2" s="107">
        <v>2018</v>
      </c>
      <c r="I2" s="107">
        <v>2019</v>
      </c>
      <c r="J2" s="107">
        <v>2020</v>
      </c>
      <c r="K2" s="107">
        <v>2021</v>
      </c>
    </row>
    <row r="3" spans="1:12" ht="18.75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83"/>
    </row>
    <row r="4" spans="1:12" ht="24.95" customHeight="1" x14ac:dyDescent="0.3">
      <c r="A4" s="61" t="s">
        <v>296</v>
      </c>
      <c r="B4" s="40">
        <v>600</v>
      </c>
      <c r="C4" s="40">
        <v>750</v>
      </c>
      <c r="D4" s="40">
        <v>800</v>
      </c>
      <c r="E4" s="40">
        <v>1000</v>
      </c>
      <c r="F4" s="644">
        <v>1200</v>
      </c>
      <c r="G4" s="644">
        <v>1200</v>
      </c>
      <c r="H4" s="644">
        <v>2000</v>
      </c>
      <c r="I4" s="644">
        <v>2000</v>
      </c>
      <c r="J4" s="644">
        <v>3000</v>
      </c>
      <c r="K4" s="644">
        <v>3000</v>
      </c>
      <c r="L4" s="818" t="s">
        <v>654</v>
      </c>
    </row>
    <row r="5" spans="1:12" ht="24.95" customHeight="1" x14ac:dyDescent="0.3">
      <c r="A5" s="813" t="s">
        <v>693</v>
      </c>
      <c r="B5" s="40">
        <v>1000</v>
      </c>
      <c r="C5" s="40">
        <v>400</v>
      </c>
      <c r="D5" s="40">
        <v>800</v>
      </c>
      <c r="E5" s="40">
        <v>1200</v>
      </c>
      <c r="F5" s="644">
        <v>1400</v>
      </c>
      <c r="G5" s="644">
        <v>1500</v>
      </c>
      <c r="H5" s="644">
        <v>1600</v>
      </c>
      <c r="I5" s="644">
        <v>2500</v>
      </c>
      <c r="J5" s="644">
        <v>2500</v>
      </c>
      <c r="K5" s="644">
        <v>2500</v>
      </c>
      <c r="L5" s="109"/>
    </row>
    <row r="6" spans="1:12" ht="24.95" customHeight="1" x14ac:dyDescent="0.3">
      <c r="A6" s="108" t="s">
        <v>844</v>
      </c>
      <c r="B6" s="533">
        <v>5600</v>
      </c>
      <c r="C6" s="533">
        <v>8000</v>
      </c>
      <c r="D6" s="533">
        <v>5000</v>
      </c>
      <c r="E6" s="533">
        <v>8000</v>
      </c>
      <c r="F6" s="689">
        <v>12000</v>
      </c>
      <c r="G6" s="689">
        <f>(400*4)+(400*3)+(300*5*4)+(100*5*4)</f>
        <v>10800</v>
      </c>
      <c r="H6" s="689">
        <f>(650*4)+(300*5*4)+(100*5*4)</f>
        <v>10600</v>
      </c>
      <c r="I6" s="689">
        <f>(750*3)+(350*5*3)+(60*5*3)</f>
        <v>8400</v>
      </c>
      <c r="J6" s="689">
        <f>(800*3)+(450*5*3)+(75*5*3)</f>
        <v>10275</v>
      </c>
      <c r="K6" s="689">
        <f>(800*3)+(450*5*3)+(75*5*3)</f>
        <v>10275</v>
      </c>
      <c r="L6" s="109" t="s">
        <v>846</v>
      </c>
    </row>
    <row r="7" spans="1:12" ht="24.95" customHeight="1" x14ac:dyDescent="0.3">
      <c r="A7" s="61" t="s">
        <v>567</v>
      </c>
      <c r="B7" s="40">
        <v>400</v>
      </c>
      <c r="C7" s="40">
        <v>300</v>
      </c>
      <c r="D7" s="40">
        <v>400</v>
      </c>
      <c r="E7" s="40">
        <v>500</v>
      </c>
      <c r="F7" s="644">
        <v>600</v>
      </c>
      <c r="G7" s="644">
        <v>500</v>
      </c>
      <c r="H7" s="644">
        <v>600</v>
      </c>
      <c r="I7" s="644">
        <v>1200</v>
      </c>
      <c r="J7" s="644">
        <v>1200</v>
      </c>
      <c r="K7" s="644">
        <v>750</v>
      </c>
      <c r="L7" s="109"/>
    </row>
    <row r="8" spans="1:12" ht="24.95" hidden="1" customHeight="1" x14ac:dyDescent="0.3">
      <c r="A8" s="52" t="s">
        <v>295</v>
      </c>
      <c r="B8" s="47">
        <v>350</v>
      </c>
      <c r="C8" s="47">
        <v>350</v>
      </c>
      <c r="D8" s="47">
        <v>0</v>
      </c>
      <c r="E8" s="47">
        <v>0</v>
      </c>
      <c r="F8" s="696"/>
      <c r="G8" s="696"/>
      <c r="H8" s="696"/>
      <c r="I8" s="696"/>
      <c r="J8" s="696"/>
      <c r="K8" s="696"/>
      <c r="L8" s="109"/>
    </row>
    <row r="9" spans="1:12" ht="24.95" customHeight="1" x14ac:dyDescent="0.3">
      <c r="A9" s="108" t="s">
        <v>830</v>
      </c>
      <c r="B9" s="533">
        <v>800</v>
      </c>
      <c r="C9" s="533">
        <v>1000</v>
      </c>
      <c r="D9" s="533">
        <v>1200</v>
      </c>
      <c r="E9" s="533">
        <v>1200</v>
      </c>
      <c r="F9" s="689">
        <v>2500</v>
      </c>
      <c r="G9" s="689">
        <v>3000</v>
      </c>
      <c r="H9" s="689">
        <f>(250*6)+(250*4*6)+(55*4*6)</f>
        <v>8820</v>
      </c>
      <c r="I9" s="689">
        <f>(275*6)+(275*4*6)+(60*4*6)</f>
        <v>9690</v>
      </c>
      <c r="J9" s="689">
        <f>(275*6)+(350*4*6)+(75*4*6)</f>
        <v>11850</v>
      </c>
      <c r="K9" s="689">
        <f>(275*6)+(250*4*6)+(75*4*6)</f>
        <v>9450</v>
      </c>
      <c r="L9" s="109" t="s">
        <v>614</v>
      </c>
    </row>
    <row r="10" spans="1:12" ht="24.95" hidden="1" customHeight="1" x14ac:dyDescent="0.3">
      <c r="A10" s="108" t="s">
        <v>299</v>
      </c>
      <c r="B10" s="533"/>
      <c r="C10" s="533">
        <v>200</v>
      </c>
      <c r="D10" s="533">
        <v>200</v>
      </c>
      <c r="E10" s="533"/>
      <c r="F10" s="689"/>
      <c r="G10" s="689"/>
      <c r="H10" s="689"/>
      <c r="I10" s="689"/>
      <c r="J10" s="689"/>
      <c r="K10" s="689"/>
      <c r="L10" s="109" t="s">
        <v>331</v>
      </c>
    </row>
    <row r="11" spans="1:12" ht="24.95" hidden="1" customHeight="1" x14ac:dyDescent="0.3">
      <c r="A11" s="108" t="s">
        <v>297</v>
      </c>
      <c r="B11" s="533">
        <v>250</v>
      </c>
      <c r="C11" s="533">
        <v>200</v>
      </c>
      <c r="D11" s="533">
        <v>300</v>
      </c>
      <c r="E11" s="533">
        <v>300</v>
      </c>
      <c r="F11" s="689"/>
      <c r="G11" s="689"/>
      <c r="H11" s="689"/>
      <c r="I11" s="689"/>
      <c r="J11" s="689"/>
      <c r="K11" s="689"/>
      <c r="L11" s="818" t="s">
        <v>432</v>
      </c>
    </row>
    <row r="12" spans="1:12" ht="24.95" hidden="1" customHeight="1" x14ac:dyDescent="0.3">
      <c r="A12" s="108" t="s">
        <v>298</v>
      </c>
      <c r="B12" s="533">
        <v>400</v>
      </c>
      <c r="C12" s="533">
        <v>400</v>
      </c>
      <c r="D12" s="533">
        <v>400</v>
      </c>
      <c r="E12" s="533"/>
      <c r="F12" s="689"/>
      <c r="G12" s="689"/>
      <c r="H12" s="689"/>
      <c r="I12" s="689"/>
      <c r="J12" s="689"/>
      <c r="K12" s="689"/>
      <c r="L12" s="109" t="s">
        <v>331</v>
      </c>
    </row>
    <row r="13" spans="1:12" ht="24.95" customHeight="1" x14ac:dyDescent="0.3">
      <c r="A13" s="108" t="s">
        <v>566</v>
      </c>
      <c r="B13" s="533">
        <v>1400</v>
      </c>
      <c r="C13" s="533">
        <v>1200</v>
      </c>
      <c r="D13" s="533">
        <v>1200</v>
      </c>
      <c r="E13" s="533">
        <v>1200</v>
      </c>
      <c r="F13" s="689">
        <v>1000</v>
      </c>
      <c r="G13" s="689">
        <v>1000</v>
      </c>
      <c r="H13" s="689">
        <v>1000</v>
      </c>
      <c r="I13" s="689">
        <v>1000</v>
      </c>
      <c r="J13" s="689">
        <v>1000</v>
      </c>
      <c r="K13" s="689">
        <v>1000</v>
      </c>
      <c r="L13" s="109"/>
    </row>
    <row r="14" spans="1:12" ht="24.95" hidden="1" customHeight="1" x14ac:dyDescent="0.3">
      <c r="A14" s="819" t="s">
        <v>16</v>
      </c>
      <c r="B14" s="47">
        <v>500</v>
      </c>
      <c r="C14" s="47"/>
      <c r="D14" s="47"/>
      <c r="E14" s="533"/>
      <c r="F14" s="689"/>
      <c r="G14" s="689"/>
      <c r="H14" s="689"/>
      <c r="I14" s="689"/>
      <c r="J14" s="689"/>
      <c r="K14" s="689"/>
      <c r="L14" s="109"/>
    </row>
    <row r="15" spans="1:12" ht="24.95" customHeight="1" x14ac:dyDescent="0.3">
      <c r="A15" s="108" t="s">
        <v>568</v>
      </c>
      <c r="B15" s="533">
        <v>2600</v>
      </c>
      <c r="C15" s="533">
        <v>3000</v>
      </c>
      <c r="D15" s="533">
        <v>3000</v>
      </c>
      <c r="E15" s="533">
        <f>3200+6500</f>
        <v>9700</v>
      </c>
      <c r="F15" s="689">
        <v>12000</v>
      </c>
      <c r="G15" s="689">
        <v>13500</v>
      </c>
      <c r="H15" s="689">
        <v>14500</v>
      </c>
      <c r="I15" s="689">
        <v>17500</v>
      </c>
      <c r="J15" s="689">
        <v>17500</v>
      </c>
      <c r="K15" s="689">
        <v>15000</v>
      </c>
      <c r="L15" s="109" t="s">
        <v>845</v>
      </c>
    </row>
    <row r="16" spans="1:12" ht="24.95" customHeight="1" x14ac:dyDescent="0.3">
      <c r="A16" s="452" t="s">
        <v>285</v>
      </c>
      <c r="B16" s="41">
        <v>1000</v>
      </c>
      <c r="C16" s="41">
        <v>750</v>
      </c>
      <c r="D16" s="41">
        <v>1000</v>
      </c>
      <c r="E16" s="288">
        <v>2200</v>
      </c>
      <c r="F16" s="646">
        <v>3000</v>
      </c>
      <c r="G16" s="646">
        <v>3000</v>
      </c>
      <c r="H16" s="646">
        <v>5000</v>
      </c>
      <c r="I16" s="646">
        <v>5000</v>
      </c>
      <c r="J16" s="646">
        <v>5000</v>
      </c>
      <c r="K16" s="646">
        <v>3000</v>
      </c>
      <c r="L16" s="109" t="s">
        <v>846</v>
      </c>
    </row>
    <row r="17" spans="1:12" ht="24.95" customHeight="1" x14ac:dyDescent="0.3">
      <c r="A17" s="820" t="s">
        <v>528</v>
      </c>
      <c r="B17" s="41">
        <v>500</v>
      </c>
      <c r="C17" s="41"/>
      <c r="D17" s="41"/>
      <c r="E17" s="288"/>
      <c r="F17" s="646">
        <v>4000</v>
      </c>
      <c r="G17" s="646">
        <v>6000</v>
      </c>
      <c r="H17" s="646">
        <v>6000</v>
      </c>
      <c r="I17" s="646">
        <v>6000</v>
      </c>
      <c r="J17" s="646">
        <v>6500</v>
      </c>
      <c r="K17" s="646">
        <v>6500</v>
      </c>
      <c r="L17" s="109" t="s">
        <v>846</v>
      </c>
    </row>
    <row r="18" spans="1:12" ht="24.95" customHeight="1" x14ac:dyDescent="0.3">
      <c r="A18" s="820" t="s">
        <v>772</v>
      </c>
      <c r="B18" s="41"/>
      <c r="C18" s="41"/>
      <c r="D18" s="41"/>
      <c r="E18" s="288"/>
      <c r="F18" s="646"/>
      <c r="G18" s="646"/>
      <c r="H18" s="646">
        <v>0</v>
      </c>
      <c r="I18" s="646">
        <v>0</v>
      </c>
      <c r="J18" s="646">
        <f>(800*3)+(175*6*3)+(225*3)</f>
        <v>6225</v>
      </c>
      <c r="K18" s="646">
        <f>(800*3)+(175*6*3)+(225*3)</f>
        <v>6225</v>
      </c>
      <c r="L18" s="109" t="s">
        <v>846</v>
      </c>
    </row>
    <row r="19" spans="1:12" ht="24.95" customHeight="1" x14ac:dyDescent="0.3">
      <c r="A19" s="819" t="s">
        <v>532</v>
      </c>
      <c r="B19" s="40"/>
      <c r="C19" s="40"/>
      <c r="D19" s="40"/>
      <c r="E19" s="40"/>
      <c r="F19" s="644">
        <v>1500</v>
      </c>
      <c r="G19" s="644">
        <v>2500</v>
      </c>
      <c r="H19" s="644">
        <v>3800</v>
      </c>
      <c r="I19" s="644">
        <v>3500</v>
      </c>
      <c r="J19" s="644">
        <f>(50*5)+(180*5)+(115*5*5)</f>
        <v>4025</v>
      </c>
      <c r="K19" s="644">
        <f>(50*5)+(180*5)+(115*5*5)</f>
        <v>4025</v>
      </c>
      <c r="L19" s="109" t="s">
        <v>847</v>
      </c>
    </row>
    <row r="20" spans="1:12" ht="24.95" customHeight="1" x14ac:dyDescent="0.3">
      <c r="A20" s="819" t="s">
        <v>589</v>
      </c>
      <c r="B20" s="40"/>
      <c r="C20" s="40"/>
      <c r="D20" s="40"/>
      <c r="E20" s="40"/>
      <c r="F20" s="644"/>
      <c r="G20" s="644">
        <f>(285*2)+(3*175*2)+(2*400)</f>
        <v>2420</v>
      </c>
      <c r="H20" s="644">
        <v>1500</v>
      </c>
      <c r="I20" s="644">
        <v>1200</v>
      </c>
      <c r="J20" s="644">
        <v>1200</v>
      </c>
      <c r="K20" s="644">
        <v>1500</v>
      </c>
      <c r="L20" s="109"/>
    </row>
    <row r="21" spans="1:12" ht="24.95" customHeight="1" x14ac:dyDescent="0.3">
      <c r="A21" s="819" t="s">
        <v>594</v>
      </c>
      <c r="B21" s="40"/>
      <c r="C21" s="40"/>
      <c r="D21" s="40"/>
      <c r="E21" s="40"/>
      <c r="F21" s="644"/>
      <c r="G21" s="644"/>
      <c r="H21" s="644">
        <f>450+(200*2)+(60*3)</f>
        <v>1030</v>
      </c>
      <c r="I21" s="644">
        <f>475+(220*2)+(60*3)</f>
        <v>1095</v>
      </c>
      <c r="J21" s="644">
        <f>475+(250*2)+(65*3)</f>
        <v>1170</v>
      </c>
      <c r="K21" s="644">
        <f>475+(250*2)+(65*3)</f>
        <v>1170</v>
      </c>
      <c r="L21" s="109" t="s">
        <v>408</v>
      </c>
    </row>
    <row r="22" spans="1:12" ht="24.95" customHeight="1" thickBot="1" x14ac:dyDescent="0.35">
      <c r="A22" s="821"/>
      <c r="B22" s="41">
        <v>-4500</v>
      </c>
      <c r="C22" s="41"/>
      <c r="D22" s="41"/>
      <c r="E22" s="41"/>
      <c r="F22" s="645"/>
      <c r="G22" s="645"/>
      <c r="H22" s="645"/>
      <c r="I22" s="645"/>
      <c r="J22" s="645"/>
      <c r="K22" s="645"/>
      <c r="L22" s="109"/>
    </row>
    <row r="23" spans="1:12" ht="24.95" customHeight="1" x14ac:dyDescent="0.3">
      <c r="A23" s="217" t="s">
        <v>113</v>
      </c>
      <c r="B23" s="822">
        <f t="shared" ref="B23:H23" si="0">SUM(B3:B22)</f>
        <v>10900</v>
      </c>
      <c r="C23" s="822">
        <f t="shared" si="0"/>
        <v>16550</v>
      </c>
      <c r="D23" s="822">
        <f t="shared" si="0"/>
        <v>14300</v>
      </c>
      <c r="E23" s="822">
        <f t="shared" si="0"/>
        <v>25300</v>
      </c>
      <c r="F23" s="823">
        <f t="shared" si="0"/>
        <v>39200</v>
      </c>
      <c r="G23" s="823">
        <f t="shared" ref="G23" si="1">SUM(G3:G22)</f>
        <v>45420</v>
      </c>
      <c r="H23" s="823">
        <f t="shared" si="0"/>
        <v>56450</v>
      </c>
      <c r="I23" s="823">
        <f t="shared" ref="I23:J23" si="2">SUM(I3:I22)</f>
        <v>59085</v>
      </c>
      <c r="J23" s="823">
        <f t="shared" si="2"/>
        <v>71445</v>
      </c>
      <c r="K23" s="823">
        <f t="shared" ref="K23" si="3">SUM(K3:K22)</f>
        <v>64395</v>
      </c>
      <c r="L23" s="183"/>
    </row>
    <row r="24" spans="1:12" x14ac:dyDescent="0.2">
      <c r="A24" s="257"/>
      <c r="B24" s="22"/>
      <c r="C24" s="22"/>
      <c r="D24" s="22"/>
      <c r="E24" s="22"/>
      <c r="F24" s="22"/>
      <c r="G24" s="22"/>
      <c r="H24" s="22"/>
      <c r="I24" s="245"/>
    </row>
  </sheetData>
  <sortState ref="A4:E5">
    <sortCondition ref="A4:A5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ColWidth="9.140625" defaultRowHeight="18.75" customHeight="1" x14ac:dyDescent="0.2"/>
  <cols>
    <col min="1" max="1" width="51.28515625" style="3" bestFit="1" customWidth="1"/>
    <col min="2" max="6" width="10.42578125" style="1" hidden="1" customWidth="1"/>
    <col min="7" max="8" width="11.7109375" style="1" hidden="1" customWidth="1"/>
    <col min="9" max="16384" width="9.140625" style="1"/>
  </cols>
  <sheetData>
    <row r="1" spans="1:11" s="2" customFormat="1" ht="18.75" customHeight="1" x14ac:dyDescent="0.25">
      <c r="A1" s="256" t="s">
        <v>259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2.75" customHeight="1" x14ac:dyDescent="0.2">
      <c r="A2" s="29"/>
      <c r="B2" s="21"/>
      <c r="C2" s="21"/>
      <c r="D2" s="28"/>
      <c r="E2" s="344"/>
      <c r="F2" s="344"/>
      <c r="G2" s="344"/>
      <c r="H2" s="344"/>
      <c r="I2" s="344"/>
      <c r="J2" s="344"/>
      <c r="K2" s="344"/>
    </row>
    <row r="3" spans="1:11" s="2" customFormat="1" ht="16.5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6" customFormat="1" ht="16.5" x14ac:dyDescent="0.3">
      <c r="A4" s="99"/>
      <c r="B4" s="112"/>
      <c r="C4" s="112"/>
      <c r="D4" s="112"/>
      <c r="E4" s="112"/>
      <c r="F4" s="695"/>
      <c r="G4" s="695"/>
      <c r="H4" s="695"/>
      <c r="I4" s="695"/>
      <c r="J4" s="695"/>
      <c r="K4" s="695"/>
    </row>
    <row r="5" spans="1:11" ht="18.75" customHeight="1" x14ac:dyDescent="0.3">
      <c r="A5" s="61" t="s">
        <v>250</v>
      </c>
      <c r="B5" s="47">
        <v>6925</v>
      </c>
      <c r="C5" s="47">
        <v>6500</v>
      </c>
      <c r="D5" s="47">
        <v>6500</v>
      </c>
      <c r="E5" s="47">
        <v>4500</v>
      </c>
      <c r="F5" s="696">
        <v>4500</v>
      </c>
      <c r="G5" s="696">
        <v>4100</v>
      </c>
      <c r="H5" s="696">
        <v>4100</v>
      </c>
      <c r="I5" s="696">
        <v>4000</v>
      </c>
      <c r="J5" s="696">
        <v>4000</v>
      </c>
      <c r="K5" s="696">
        <v>4000</v>
      </c>
    </row>
    <row r="6" spans="1:11" ht="18.75" customHeight="1" x14ac:dyDescent="0.3">
      <c r="A6" s="61" t="s">
        <v>648</v>
      </c>
      <c r="B6" s="34">
        <v>725</v>
      </c>
      <c r="C6" s="34">
        <v>1500</v>
      </c>
      <c r="D6" s="34">
        <v>1200</v>
      </c>
      <c r="E6" s="34">
        <v>1200</v>
      </c>
      <c r="F6" s="701">
        <v>1200</v>
      </c>
      <c r="G6" s="701">
        <v>1200</v>
      </c>
      <c r="H6" s="701">
        <v>1200</v>
      </c>
      <c r="I6" s="701">
        <v>1400</v>
      </c>
      <c r="J6" s="701">
        <v>1000</v>
      </c>
      <c r="K6" s="701">
        <v>1000</v>
      </c>
    </row>
    <row r="7" spans="1:11" ht="18.75" customHeight="1" x14ac:dyDescent="0.3">
      <c r="A7" s="61" t="s">
        <v>258</v>
      </c>
      <c r="B7" s="47">
        <v>4500</v>
      </c>
      <c r="C7" s="47">
        <v>3500</v>
      </c>
      <c r="D7" s="47">
        <v>3600</v>
      </c>
      <c r="E7" s="47">
        <v>3600</v>
      </c>
      <c r="F7" s="696">
        <v>3600</v>
      </c>
      <c r="G7" s="696">
        <v>3600</v>
      </c>
      <c r="H7" s="696">
        <v>3600</v>
      </c>
      <c r="I7" s="696">
        <v>4500</v>
      </c>
      <c r="J7" s="696">
        <v>4500</v>
      </c>
      <c r="K7" s="696">
        <v>4500</v>
      </c>
    </row>
    <row r="8" spans="1:11" s="2" customFormat="1" ht="18.75" customHeight="1" x14ac:dyDescent="0.3">
      <c r="A8" s="61" t="s">
        <v>277</v>
      </c>
      <c r="B8" s="47">
        <v>4000</v>
      </c>
      <c r="C8" s="47">
        <v>3000</v>
      </c>
      <c r="D8" s="47">
        <v>3000</v>
      </c>
      <c r="E8" s="47">
        <v>3000</v>
      </c>
      <c r="F8" s="696">
        <v>3000</v>
      </c>
      <c r="G8" s="696">
        <v>3000</v>
      </c>
      <c r="H8" s="696">
        <v>3000</v>
      </c>
      <c r="I8" s="696">
        <v>3500</v>
      </c>
      <c r="J8" s="696">
        <v>3500</v>
      </c>
      <c r="K8" s="696">
        <v>3500</v>
      </c>
    </row>
    <row r="9" spans="1:11" s="2" customFormat="1" ht="18.75" customHeight="1" x14ac:dyDescent="0.3">
      <c r="A9" s="61" t="s">
        <v>276</v>
      </c>
      <c r="B9" s="47">
        <v>2000</v>
      </c>
      <c r="C9" s="47">
        <v>2500</v>
      </c>
      <c r="D9" s="47">
        <v>2000</v>
      </c>
      <c r="E9" s="47">
        <v>2000</v>
      </c>
      <c r="F9" s="696">
        <v>2000</v>
      </c>
      <c r="G9" s="696">
        <v>2000</v>
      </c>
      <c r="H9" s="696">
        <v>2000</v>
      </c>
      <c r="I9" s="696">
        <v>2200</v>
      </c>
      <c r="J9" s="696">
        <v>2200</v>
      </c>
      <c r="K9" s="696">
        <v>2200</v>
      </c>
    </row>
    <row r="10" spans="1:11" s="2" customFormat="1" ht="18.75" customHeight="1" x14ac:dyDescent="0.3">
      <c r="A10" s="61" t="s">
        <v>249</v>
      </c>
      <c r="B10" s="34">
        <v>2000</v>
      </c>
      <c r="C10" s="34">
        <v>2000</v>
      </c>
      <c r="D10" s="34">
        <v>2000</v>
      </c>
      <c r="E10" s="34">
        <v>2000</v>
      </c>
      <c r="F10" s="701">
        <v>2000</v>
      </c>
      <c r="G10" s="701">
        <v>2000</v>
      </c>
      <c r="H10" s="701">
        <v>2000</v>
      </c>
      <c r="I10" s="701">
        <v>2000</v>
      </c>
      <c r="J10" s="701">
        <v>2000</v>
      </c>
      <c r="K10" s="701">
        <v>2000</v>
      </c>
    </row>
    <row r="11" spans="1:11" s="2" customFormat="1" ht="18.75" customHeight="1" x14ac:dyDescent="0.3">
      <c r="A11" s="61" t="s">
        <v>248</v>
      </c>
      <c r="B11" s="34">
        <v>2000</v>
      </c>
      <c r="C11" s="34">
        <v>2500</v>
      </c>
      <c r="D11" s="34">
        <v>2200</v>
      </c>
      <c r="E11" s="763">
        <v>2200</v>
      </c>
      <c r="F11" s="751">
        <v>3000</v>
      </c>
      <c r="G11" s="751">
        <v>3000</v>
      </c>
      <c r="H11" s="751">
        <v>3000</v>
      </c>
      <c r="I11" s="751">
        <v>3000</v>
      </c>
      <c r="J11" s="751">
        <v>3000</v>
      </c>
      <c r="K11" s="751">
        <v>3000</v>
      </c>
    </row>
    <row r="12" spans="1:11" s="2" customFormat="1" ht="18.75" customHeight="1" x14ac:dyDescent="0.3">
      <c r="A12" s="61" t="s">
        <v>96</v>
      </c>
      <c r="B12" s="47">
        <v>900</v>
      </c>
      <c r="C12" s="47">
        <v>800</v>
      </c>
      <c r="D12" s="47">
        <v>500</v>
      </c>
      <c r="E12" s="533">
        <v>1000</v>
      </c>
      <c r="F12" s="689">
        <v>1000</v>
      </c>
      <c r="G12" s="689">
        <v>1000</v>
      </c>
      <c r="H12" s="689">
        <v>1000</v>
      </c>
      <c r="I12" s="689">
        <v>1200</v>
      </c>
      <c r="J12" s="689">
        <f>1200+7000</f>
        <v>8200</v>
      </c>
      <c r="K12" s="689">
        <f>1200+7000</f>
        <v>8200</v>
      </c>
    </row>
    <row r="13" spans="1:11" ht="18.75" hidden="1" customHeight="1" x14ac:dyDescent="0.3">
      <c r="A13" s="61" t="s">
        <v>256</v>
      </c>
      <c r="B13" s="47">
        <v>34400</v>
      </c>
      <c r="C13" s="47"/>
      <c r="D13" s="47"/>
      <c r="E13" s="533"/>
      <c r="F13" s="689"/>
      <c r="G13" s="689"/>
      <c r="H13" s="689"/>
      <c r="I13" s="689"/>
      <c r="J13" s="689"/>
      <c r="K13" s="689"/>
    </row>
    <row r="14" spans="1:11" ht="18.75" hidden="1" customHeight="1" x14ac:dyDescent="0.3">
      <c r="A14" s="61" t="s">
        <v>274</v>
      </c>
      <c r="B14" s="47">
        <v>21840</v>
      </c>
      <c r="C14" s="47"/>
      <c r="D14" s="47"/>
      <c r="E14" s="533"/>
      <c r="F14" s="689"/>
      <c r="G14" s="689"/>
      <c r="H14" s="689"/>
      <c r="I14" s="689"/>
      <c r="J14" s="689"/>
      <c r="K14" s="689"/>
    </row>
    <row r="15" spans="1:11" ht="18.75" customHeight="1" x14ac:dyDescent="0.3">
      <c r="A15" s="61" t="s">
        <v>601</v>
      </c>
      <c r="B15" s="47">
        <v>7875</v>
      </c>
      <c r="C15" s="47">
        <v>10000</v>
      </c>
      <c r="D15" s="47">
        <v>11000</v>
      </c>
      <c r="E15" s="533">
        <v>10000</v>
      </c>
      <c r="F15" s="689">
        <v>12000</v>
      </c>
      <c r="G15" s="689">
        <v>14000</v>
      </c>
      <c r="H15" s="689">
        <v>14000</v>
      </c>
      <c r="I15" s="689">
        <v>9800</v>
      </c>
      <c r="J15" s="689">
        <v>12000</v>
      </c>
      <c r="K15" s="689">
        <v>12000</v>
      </c>
    </row>
    <row r="16" spans="1:11" ht="18.75" customHeight="1" x14ac:dyDescent="0.3">
      <c r="A16" s="61" t="s">
        <v>490</v>
      </c>
      <c r="B16" s="47">
        <v>6500</v>
      </c>
      <c r="C16" s="47">
        <v>6000</v>
      </c>
      <c r="D16" s="47">
        <v>6000</v>
      </c>
      <c r="E16" s="533">
        <v>4000</v>
      </c>
      <c r="F16" s="689">
        <v>4000</v>
      </c>
      <c r="G16" s="689">
        <v>4000</v>
      </c>
      <c r="H16" s="689">
        <v>5000</v>
      </c>
      <c r="I16" s="689">
        <v>5000</v>
      </c>
      <c r="J16" s="689">
        <v>5000</v>
      </c>
      <c r="K16" s="689">
        <v>5000</v>
      </c>
    </row>
    <row r="17" spans="1:11" ht="18.75" hidden="1" customHeight="1" x14ac:dyDescent="0.3">
      <c r="A17" s="61" t="s">
        <v>270</v>
      </c>
      <c r="B17" s="47">
        <v>500</v>
      </c>
      <c r="C17" s="47"/>
      <c r="D17" s="47"/>
      <c r="E17" s="533"/>
      <c r="F17" s="689"/>
      <c r="G17" s="689"/>
      <c r="H17" s="689"/>
      <c r="I17" s="689"/>
      <c r="J17" s="689"/>
      <c r="K17" s="689"/>
    </row>
    <row r="18" spans="1:11" ht="18.75" hidden="1" customHeight="1" x14ac:dyDescent="0.3">
      <c r="A18" s="61" t="s">
        <v>245</v>
      </c>
      <c r="B18" s="47">
        <v>1250</v>
      </c>
      <c r="C18" s="47"/>
      <c r="D18" s="47"/>
      <c r="E18" s="533"/>
      <c r="F18" s="689"/>
      <c r="G18" s="689"/>
      <c r="H18" s="689"/>
      <c r="I18" s="689"/>
      <c r="J18" s="689"/>
      <c r="K18" s="689"/>
    </row>
    <row r="19" spans="1:11" ht="18.75" customHeight="1" x14ac:dyDescent="0.3">
      <c r="A19" s="61" t="s">
        <v>615</v>
      </c>
      <c r="B19" s="47"/>
      <c r="C19" s="47">
        <v>1200</v>
      </c>
      <c r="D19" s="47">
        <v>1200</v>
      </c>
      <c r="E19" s="533">
        <v>600</v>
      </c>
      <c r="F19" s="689">
        <v>600</v>
      </c>
      <c r="G19" s="689">
        <v>600</v>
      </c>
      <c r="H19" s="689">
        <v>600</v>
      </c>
      <c r="I19" s="689">
        <v>750</v>
      </c>
      <c r="J19" s="689">
        <v>750</v>
      </c>
      <c r="K19" s="689">
        <v>750</v>
      </c>
    </row>
    <row r="20" spans="1:11" ht="18.75" customHeight="1" x14ac:dyDescent="0.3">
      <c r="A20" s="61" t="s">
        <v>246</v>
      </c>
      <c r="B20" s="47">
        <v>5367</v>
      </c>
      <c r="C20" s="47">
        <v>2500</v>
      </c>
      <c r="D20" s="47">
        <v>2000</v>
      </c>
      <c r="E20" s="533">
        <v>2500</v>
      </c>
      <c r="F20" s="689">
        <v>2500</v>
      </c>
      <c r="G20" s="689">
        <v>2500</v>
      </c>
      <c r="H20" s="689">
        <v>1500</v>
      </c>
      <c r="I20" s="689">
        <v>1500</v>
      </c>
      <c r="J20" s="689">
        <v>1500</v>
      </c>
      <c r="K20" s="689">
        <v>1500</v>
      </c>
    </row>
    <row r="21" spans="1:11" ht="18.75" customHeight="1" x14ac:dyDescent="0.3">
      <c r="A21" s="61" t="s">
        <v>257</v>
      </c>
      <c r="B21" s="47">
        <v>250</v>
      </c>
      <c r="C21" s="47">
        <v>650</v>
      </c>
      <c r="D21" s="47">
        <v>650</v>
      </c>
      <c r="E21" s="533">
        <v>750</v>
      </c>
      <c r="F21" s="689">
        <v>750</v>
      </c>
      <c r="G21" s="689">
        <v>750</v>
      </c>
      <c r="H21" s="689">
        <v>750</v>
      </c>
      <c r="I21" s="689">
        <v>1000</v>
      </c>
      <c r="J21" s="689">
        <v>1000</v>
      </c>
      <c r="K21" s="689">
        <v>1000</v>
      </c>
    </row>
    <row r="22" spans="1:11" ht="18.75" hidden="1" customHeight="1" x14ac:dyDescent="0.3">
      <c r="A22" s="61" t="s">
        <v>275</v>
      </c>
      <c r="B22" s="47">
        <v>2000</v>
      </c>
      <c r="C22" s="47">
        <v>1000</v>
      </c>
      <c r="D22" s="47">
        <v>750</v>
      </c>
      <c r="E22" s="47" t="s">
        <v>489</v>
      </c>
      <c r="F22" s="696" t="s">
        <v>489</v>
      </c>
      <c r="G22" s="696"/>
      <c r="H22" s="696"/>
      <c r="I22" s="696"/>
      <c r="J22" s="696"/>
      <c r="K22" s="696"/>
    </row>
    <row r="23" spans="1:11" ht="18.75" customHeight="1" x14ac:dyDescent="0.3">
      <c r="A23" s="61" t="s">
        <v>346</v>
      </c>
      <c r="B23" s="47">
        <v>700</v>
      </c>
      <c r="C23" s="47">
        <v>750</v>
      </c>
      <c r="D23" s="47">
        <v>750</v>
      </c>
      <c r="E23" s="47">
        <v>750</v>
      </c>
      <c r="F23" s="696">
        <v>750</v>
      </c>
      <c r="G23" s="696">
        <v>750</v>
      </c>
      <c r="H23" s="696">
        <v>750</v>
      </c>
      <c r="I23" s="696">
        <v>3000</v>
      </c>
      <c r="J23" s="696">
        <v>3000</v>
      </c>
      <c r="K23" s="696">
        <v>4000</v>
      </c>
    </row>
    <row r="24" spans="1:11" ht="18.75" customHeight="1" x14ac:dyDescent="0.3">
      <c r="A24" s="61" t="s">
        <v>836</v>
      </c>
      <c r="B24" s="47">
        <v>10625</v>
      </c>
      <c r="C24" s="47">
        <v>2500</v>
      </c>
      <c r="D24" s="47">
        <v>3500</v>
      </c>
      <c r="E24" s="47">
        <v>0</v>
      </c>
      <c r="F24" s="696">
        <v>0</v>
      </c>
      <c r="G24" s="696">
        <v>0</v>
      </c>
      <c r="H24" s="696">
        <v>0</v>
      </c>
      <c r="I24" s="696">
        <v>0</v>
      </c>
      <c r="J24" s="696">
        <v>0</v>
      </c>
      <c r="K24" s="696">
        <f>680*25</f>
        <v>17000</v>
      </c>
    </row>
    <row r="25" spans="1:11" ht="18.75" hidden="1" customHeight="1" x14ac:dyDescent="0.3">
      <c r="A25" s="61" t="s">
        <v>97</v>
      </c>
      <c r="B25" s="47">
        <v>4725</v>
      </c>
      <c r="C25" s="47">
        <v>5700</v>
      </c>
      <c r="D25" s="47">
        <v>6200</v>
      </c>
      <c r="E25" s="533">
        <v>15000</v>
      </c>
      <c r="F25" s="689">
        <v>15000</v>
      </c>
      <c r="G25" s="689">
        <v>0</v>
      </c>
      <c r="H25" s="689">
        <v>0</v>
      </c>
      <c r="I25" s="689">
        <v>0</v>
      </c>
      <c r="J25" s="689">
        <v>0</v>
      </c>
      <c r="K25" s="689">
        <v>0</v>
      </c>
    </row>
    <row r="26" spans="1:11" ht="18.75" customHeight="1" x14ac:dyDescent="0.3">
      <c r="A26" s="61" t="s">
        <v>98</v>
      </c>
      <c r="B26" s="47">
        <v>200</v>
      </c>
      <c r="C26" s="47">
        <v>250</v>
      </c>
      <c r="D26" s="47">
        <v>350</v>
      </c>
      <c r="E26" s="47">
        <v>400</v>
      </c>
      <c r="F26" s="696">
        <v>400</v>
      </c>
      <c r="G26" s="696">
        <v>400</v>
      </c>
      <c r="H26" s="696">
        <v>800</v>
      </c>
      <c r="I26" s="696">
        <v>800</v>
      </c>
      <c r="J26" s="696">
        <v>800</v>
      </c>
      <c r="K26" s="696">
        <v>800</v>
      </c>
    </row>
    <row r="27" spans="1:11" ht="18.75" customHeight="1" x14ac:dyDescent="0.3">
      <c r="A27" s="61" t="s">
        <v>247</v>
      </c>
      <c r="B27" s="47">
        <v>3000</v>
      </c>
      <c r="C27" s="47">
        <v>3500</v>
      </c>
      <c r="D27" s="47">
        <v>3500</v>
      </c>
      <c r="E27" s="47">
        <v>2500</v>
      </c>
      <c r="F27" s="696">
        <v>2500</v>
      </c>
      <c r="G27" s="696">
        <v>2500</v>
      </c>
      <c r="H27" s="696">
        <v>2500</v>
      </c>
      <c r="I27" s="696">
        <v>2500</v>
      </c>
      <c r="J27" s="696">
        <f>75*34</f>
        <v>2550</v>
      </c>
      <c r="K27" s="696">
        <f>75*35</f>
        <v>2625</v>
      </c>
    </row>
    <row r="28" spans="1:11" ht="18.75" customHeight="1" x14ac:dyDescent="0.3">
      <c r="A28" s="61" t="s">
        <v>571</v>
      </c>
      <c r="B28" s="47"/>
      <c r="C28" s="47"/>
      <c r="D28" s="47"/>
      <c r="E28" s="47"/>
      <c r="F28" s="696"/>
      <c r="G28" s="696">
        <v>4000</v>
      </c>
      <c r="H28" s="696">
        <v>7000</v>
      </c>
      <c r="I28" s="696">
        <v>7000</v>
      </c>
      <c r="J28" s="696">
        <v>7000</v>
      </c>
      <c r="K28" s="696">
        <v>8000</v>
      </c>
    </row>
    <row r="29" spans="1:11" ht="18.75" customHeight="1" x14ac:dyDescent="0.3">
      <c r="A29" s="61" t="s">
        <v>602</v>
      </c>
      <c r="B29" s="47"/>
      <c r="C29" s="47"/>
      <c r="D29" s="47"/>
      <c r="E29" s="47"/>
      <c r="F29" s="696">
        <v>0</v>
      </c>
      <c r="G29" s="696">
        <v>0</v>
      </c>
      <c r="H29" s="696">
        <v>2000</v>
      </c>
      <c r="I29" s="696">
        <v>1000</v>
      </c>
      <c r="J29" s="696">
        <v>1000</v>
      </c>
      <c r="K29" s="696">
        <v>1000</v>
      </c>
    </row>
    <row r="30" spans="1:11" ht="18.75" hidden="1" customHeight="1" x14ac:dyDescent="0.3">
      <c r="A30" s="61" t="s">
        <v>603</v>
      </c>
      <c r="B30" s="47"/>
      <c r="C30" s="47"/>
      <c r="D30" s="47"/>
      <c r="E30" s="47"/>
      <c r="F30" s="696">
        <v>0</v>
      </c>
      <c r="G30" s="696">
        <v>0</v>
      </c>
      <c r="H30" s="696">
        <v>2500</v>
      </c>
      <c r="I30" s="696">
        <v>0</v>
      </c>
      <c r="J30" s="696">
        <v>0</v>
      </c>
      <c r="K30" s="696">
        <v>0</v>
      </c>
    </row>
    <row r="31" spans="1:11" ht="18.75" customHeight="1" x14ac:dyDescent="0.3">
      <c r="A31" s="61" t="s">
        <v>649</v>
      </c>
      <c r="B31" s="47"/>
      <c r="C31" s="47"/>
      <c r="D31" s="47"/>
      <c r="E31" s="47"/>
      <c r="F31" s="696"/>
      <c r="G31" s="696"/>
      <c r="H31" s="696"/>
      <c r="I31" s="696">
        <v>1500</v>
      </c>
      <c r="J31" s="696">
        <v>750</v>
      </c>
      <c r="K31" s="696">
        <v>750</v>
      </c>
    </row>
    <row r="32" spans="1:11" ht="18.75" customHeight="1" thickBot="1" x14ac:dyDescent="0.35">
      <c r="A32" s="61"/>
      <c r="B32" s="47"/>
      <c r="C32" s="47"/>
      <c r="D32" s="47"/>
      <c r="E32" s="47"/>
      <c r="F32" s="696"/>
      <c r="G32" s="696"/>
      <c r="H32" s="696"/>
      <c r="I32" s="696"/>
      <c r="J32" s="696"/>
      <c r="K32" s="696"/>
    </row>
    <row r="33" spans="1:11" ht="18.75" customHeight="1" thickTop="1" x14ac:dyDescent="0.3">
      <c r="A33" s="217" t="s">
        <v>113</v>
      </c>
      <c r="B33" s="87">
        <f t="shared" ref="B33:H33" si="0">SUM(B4:B32)</f>
        <v>122282</v>
      </c>
      <c r="C33" s="87">
        <f t="shared" si="0"/>
        <v>56350</v>
      </c>
      <c r="D33" s="87">
        <f t="shared" si="0"/>
        <v>56900</v>
      </c>
      <c r="E33" s="87">
        <f t="shared" si="0"/>
        <v>56000</v>
      </c>
      <c r="F33" s="728">
        <f t="shared" si="0"/>
        <v>58800</v>
      </c>
      <c r="G33" s="728">
        <f t="shared" si="0"/>
        <v>49400</v>
      </c>
      <c r="H33" s="728">
        <f t="shared" si="0"/>
        <v>57300</v>
      </c>
      <c r="I33" s="728">
        <f t="shared" ref="I33:J33" si="1">SUM(I4:I32)</f>
        <v>55650</v>
      </c>
      <c r="J33" s="728">
        <f t="shared" si="1"/>
        <v>63750</v>
      </c>
      <c r="K33" s="728">
        <f t="shared" ref="K33" si="2">SUM(K4:K32)</f>
        <v>82825</v>
      </c>
    </row>
    <row r="34" spans="1:11" ht="18.75" customHeight="1" x14ac:dyDescent="0.2">
      <c r="A34" s="125"/>
      <c r="B34" s="94"/>
      <c r="C34" s="94"/>
    </row>
    <row r="35" spans="1:11" ht="18.75" customHeight="1" x14ac:dyDescent="0.2">
      <c r="A35" s="941"/>
    </row>
  </sheetData>
  <sortState ref="A6:E27">
    <sortCondition ref="A6:A27"/>
  </sortState>
  <phoneticPr fontId="20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ColWidth="9.140625" defaultRowHeight="18.75" customHeight="1" x14ac:dyDescent="0.3"/>
  <cols>
    <col min="1" max="1" width="34" style="95" bestFit="1" customWidth="1"/>
    <col min="2" max="2" width="13.140625" style="25" hidden="1" customWidth="1"/>
    <col min="3" max="4" width="11.7109375" style="25" hidden="1" customWidth="1"/>
    <col min="5" max="8" width="11" style="25" hidden="1" customWidth="1"/>
    <col min="9" max="16384" width="9.140625" style="25"/>
  </cols>
  <sheetData>
    <row r="1" spans="1:11" s="44" customFormat="1" ht="21.75" customHeight="1" x14ac:dyDescent="0.3">
      <c r="A1" s="256" t="s">
        <v>267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2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6.5" customHeight="1" x14ac:dyDescent="0.3">
      <c r="A4" s="96"/>
      <c r="B4" s="128"/>
      <c r="C4" s="128"/>
      <c r="D4" s="128"/>
      <c r="E4" s="128"/>
      <c r="F4" s="695"/>
      <c r="G4" s="695"/>
      <c r="H4" s="695"/>
      <c r="I4" s="695"/>
      <c r="J4" s="695"/>
      <c r="K4" s="695"/>
    </row>
    <row r="5" spans="1:11" s="121" customFormat="1" ht="15.75" customHeight="1" x14ac:dyDescent="0.3">
      <c r="A5" s="114" t="s">
        <v>273</v>
      </c>
      <c r="B5" s="128"/>
      <c r="C5" s="128"/>
      <c r="D5" s="128"/>
      <c r="E5" s="128"/>
      <c r="F5" s="695"/>
      <c r="G5" s="695"/>
      <c r="H5" s="695"/>
      <c r="I5" s="695"/>
      <c r="J5" s="695"/>
      <c r="K5" s="695"/>
    </row>
    <row r="6" spans="1:11" s="44" customFormat="1" ht="18.75" customHeight="1" x14ac:dyDescent="0.3">
      <c r="A6" s="61" t="s">
        <v>268</v>
      </c>
      <c r="B6" s="51">
        <v>4300</v>
      </c>
      <c r="C6" s="51">
        <v>5600</v>
      </c>
      <c r="D6" s="51">
        <f>100*52</f>
        <v>5200</v>
      </c>
      <c r="E6" s="51">
        <v>3500</v>
      </c>
      <c r="F6" s="696">
        <v>2000</v>
      </c>
      <c r="G6" s="696">
        <v>3000</v>
      </c>
      <c r="H6" s="696">
        <v>3000</v>
      </c>
      <c r="I6" s="696">
        <v>4500</v>
      </c>
      <c r="J6" s="696">
        <v>5000</v>
      </c>
      <c r="K6" s="696">
        <v>5000</v>
      </c>
    </row>
    <row r="7" spans="1:11" s="44" customFormat="1" ht="18.75" hidden="1" customHeight="1" x14ac:dyDescent="0.3">
      <c r="A7" s="61" t="s">
        <v>305</v>
      </c>
      <c r="B7" s="51">
        <v>15000</v>
      </c>
      <c r="C7" s="51"/>
      <c r="D7" s="51"/>
      <c r="E7" s="51"/>
      <c r="F7" s="696"/>
      <c r="G7" s="696"/>
      <c r="H7" s="696"/>
      <c r="I7" s="696"/>
      <c r="J7" s="696"/>
      <c r="K7" s="696"/>
    </row>
    <row r="8" spans="1:11" s="44" customFormat="1" ht="18.75" hidden="1" customHeight="1" x14ac:dyDescent="0.3">
      <c r="A8" s="61" t="s">
        <v>347</v>
      </c>
      <c r="B8" s="51"/>
      <c r="C8" s="51"/>
      <c r="D8" s="51"/>
      <c r="E8" s="51"/>
      <c r="F8" s="696"/>
      <c r="G8" s="696"/>
      <c r="H8" s="696"/>
      <c r="I8" s="696"/>
      <c r="J8" s="696"/>
      <c r="K8" s="696"/>
    </row>
    <row r="9" spans="1:11" ht="18.75" customHeight="1" x14ac:dyDescent="0.3">
      <c r="A9" s="61" t="s">
        <v>254</v>
      </c>
      <c r="B9" s="51">
        <v>1000</v>
      </c>
      <c r="C9" s="51">
        <v>450</v>
      </c>
      <c r="D9" s="51">
        <v>200</v>
      </c>
      <c r="E9" s="51">
        <v>200</v>
      </c>
      <c r="F9" s="696">
        <v>200</v>
      </c>
      <c r="G9" s="696">
        <v>300</v>
      </c>
      <c r="H9" s="696">
        <v>300</v>
      </c>
      <c r="I9" s="696">
        <v>450</v>
      </c>
      <c r="J9" s="696">
        <v>450</v>
      </c>
      <c r="K9" s="696">
        <v>450</v>
      </c>
    </row>
    <row r="10" spans="1:11" ht="18.75" customHeight="1" x14ac:dyDescent="0.3">
      <c r="A10" s="61" t="s">
        <v>253</v>
      </c>
      <c r="B10" s="51">
        <v>1500</v>
      </c>
      <c r="C10" s="51">
        <v>1000</v>
      </c>
      <c r="D10" s="51">
        <v>1500</v>
      </c>
      <c r="E10" s="51">
        <v>1000</v>
      </c>
      <c r="F10" s="696">
        <v>1000</v>
      </c>
      <c r="G10" s="696">
        <v>1000</v>
      </c>
      <c r="H10" s="696">
        <v>1000</v>
      </c>
      <c r="I10" s="696">
        <v>1200</v>
      </c>
      <c r="J10" s="696">
        <v>1200</v>
      </c>
      <c r="K10" s="696">
        <v>1200</v>
      </c>
    </row>
    <row r="11" spans="1:11" ht="18.75" hidden="1" customHeight="1" x14ac:dyDescent="0.3">
      <c r="A11" s="61" t="s">
        <v>270</v>
      </c>
      <c r="B11" s="51">
        <v>600</v>
      </c>
      <c r="C11" s="51"/>
      <c r="D11" s="51"/>
      <c r="E11" s="51"/>
      <c r="F11" s="696"/>
      <c r="G11" s="696"/>
      <c r="H11" s="696"/>
      <c r="I11" s="696"/>
      <c r="J11" s="696"/>
      <c r="K11" s="696"/>
    </row>
    <row r="12" spans="1:11" ht="18.75" hidden="1" customHeight="1" x14ac:dyDescent="0.3">
      <c r="A12" s="61" t="s">
        <v>272</v>
      </c>
      <c r="B12" s="51">
        <v>500</v>
      </c>
      <c r="C12" s="51"/>
      <c r="D12" s="51"/>
      <c r="E12" s="51"/>
      <c r="F12" s="696"/>
      <c r="G12" s="696"/>
      <c r="H12" s="696"/>
      <c r="I12" s="696"/>
      <c r="J12" s="696"/>
      <c r="K12" s="696"/>
    </row>
    <row r="13" spans="1:11" ht="18.75" customHeight="1" x14ac:dyDescent="0.3">
      <c r="A13" s="61" t="s">
        <v>271</v>
      </c>
      <c r="B13" s="51">
        <v>900</v>
      </c>
      <c r="C13" s="51">
        <v>850</v>
      </c>
      <c r="D13" s="51">
        <v>850</v>
      </c>
      <c r="E13" s="51">
        <v>500</v>
      </c>
      <c r="F13" s="696">
        <v>500</v>
      </c>
      <c r="G13" s="696">
        <v>500</v>
      </c>
      <c r="H13" s="696">
        <v>500</v>
      </c>
      <c r="I13" s="696">
        <v>500</v>
      </c>
      <c r="J13" s="696">
        <v>600</v>
      </c>
      <c r="K13" s="696">
        <v>600</v>
      </c>
    </row>
    <row r="14" spans="1:11" ht="18.75" customHeight="1" x14ac:dyDescent="0.3">
      <c r="A14" s="61" t="s">
        <v>269</v>
      </c>
      <c r="B14" s="51">
        <v>2000</v>
      </c>
      <c r="C14" s="51">
        <v>1000</v>
      </c>
      <c r="D14" s="51">
        <v>1500</v>
      </c>
      <c r="E14" s="51">
        <v>4500</v>
      </c>
      <c r="F14" s="696">
        <v>2500</v>
      </c>
      <c r="G14" s="696">
        <v>4500</v>
      </c>
      <c r="H14" s="696">
        <v>10000</v>
      </c>
      <c r="I14" s="696">
        <v>10000</v>
      </c>
      <c r="J14" s="696">
        <v>10000</v>
      </c>
      <c r="K14" s="696">
        <v>10000</v>
      </c>
    </row>
    <row r="15" spans="1:11" ht="18.75" customHeight="1" x14ac:dyDescent="0.3">
      <c r="A15" s="555" t="s">
        <v>520</v>
      </c>
      <c r="B15" s="815"/>
      <c r="C15" s="51"/>
      <c r="D15" s="51"/>
      <c r="E15" s="51">
        <f>150*40</f>
        <v>6000</v>
      </c>
      <c r="F15" s="696">
        <v>5000</v>
      </c>
      <c r="G15" s="696">
        <v>4500</v>
      </c>
      <c r="H15" s="696">
        <v>4500</v>
      </c>
      <c r="I15" s="696">
        <v>3800</v>
      </c>
      <c r="J15" s="696">
        <v>4000</v>
      </c>
      <c r="K15" s="696">
        <v>4000</v>
      </c>
    </row>
    <row r="16" spans="1:11" ht="18.75" customHeight="1" x14ac:dyDescent="0.3">
      <c r="A16" s="356"/>
      <c r="B16" s="815"/>
      <c r="C16" s="51"/>
      <c r="D16" s="51"/>
      <c r="E16" s="51"/>
      <c r="F16" s="696"/>
      <c r="G16" s="696"/>
      <c r="H16" s="696"/>
      <c r="I16" s="696"/>
      <c r="J16" s="696"/>
      <c r="K16" s="696"/>
    </row>
    <row r="17" spans="1:11" ht="16.5" customHeight="1" x14ac:dyDescent="0.3">
      <c r="A17" s="53"/>
      <c r="B17" s="51"/>
      <c r="C17" s="51"/>
      <c r="D17" s="51"/>
      <c r="E17" s="51"/>
      <c r="F17" s="696"/>
      <c r="G17" s="696"/>
      <c r="H17" s="696"/>
      <c r="I17" s="696"/>
      <c r="J17" s="696"/>
      <c r="K17" s="696"/>
    </row>
    <row r="18" spans="1:11" ht="16.5" customHeight="1" thickBot="1" x14ac:dyDescent="0.35">
      <c r="A18" s="283"/>
      <c r="B18" s="64"/>
      <c r="C18" s="816"/>
      <c r="D18" s="816"/>
      <c r="E18" s="816"/>
      <c r="F18" s="727"/>
      <c r="G18" s="727"/>
      <c r="H18" s="727"/>
      <c r="I18" s="727"/>
      <c r="J18" s="727"/>
      <c r="K18" s="727"/>
    </row>
    <row r="19" spans="1:11" ht="18.75" customHeight="1" thickTop="1" x14ac:dyDescent="0.3">
      <c r="A19" s="101" t="s">
        <v>113</v>
      </c>
      <c r="B19" s="817">
        <f t="shared" ref="B19:D19" si="0">SUM(B4:B18)</f>
        <v>25800</v>
      </c>
      <c r="C19" s="817">
        <f t="shared" si="0"/>
        <v>8900</v>
      </c>
      <c r="D19" s="817">
        <f t="shared" si="0"/>
        <v>9250</v>
      </c>
      <c r="E19" s="817">
        <f t="shared" ref="E19:J19" si="1">SUM(E4:E18)</f>
        <v>15700</v>
      </c>
      <c r="F19" s="728">
        <f t="shared" si="1"/>
        <v>11200</v>
      </c>
      <c r="G19" s="728">
        <f t="shared" si="1"/>
        <v>13800</v>
      </c>
      <c r="H19" s="728">
        <f t="shared" si="1"/>
        <v>19300</v>
      </c>
      <c r="I19" s="728">
        <f t="shared" si="1"/>
        <v>20450</v>
      </c>
      <c r="J19" s="728">
        <f t="shared" si="1"/>
        <v>21250</v>
      </c>
      <c r="K19" s="728">
        <f t="shared" ref="K19" si="2">SUM(K4:K18)</f>
        <v>21250</v>
      </c>
    </row>
    <row r="20" spans="1:11" ht="8.25" customHeight="1" x14ac:dyDescent="0.3"/>
    <row r="21" spans="1:11" ht="15" customHeight="1" x14ac:dyDescent="0.3">
      <c r="A21"/>
      <c r="B21"/>
      <c r="C21"/>
      <c r="D21"/>
      <c r="E21"/>
      <c r="F21"/>
      <c r="G21"/>
      <c r="H21"/>
    </row>
    <row r="22" spans="1:11" ht="15" customHeight="1" x14ac:dyDescent="0.3">
      <c r="A22" s="940"/>
      <c r="B22"/>
      <c r="C22"/>
      <c r="D22"/>
      <c r="E22"/>
      <c r="F22"/>
      <c r="G22"/>
      <c r="H22"/>
    </row>
    <row r="23" spans="1:11" ht="15" customHeight="1" x14ac:dyDescent="0.3">
      <c r="A23"/>
      <c r="B23"/>
      <c r="C23"/>
      <c r="D23"/>
      <c r="E23"/>
      <c r="F23"/>
      <c r="G23"/>
      <c r="H23"/>
    </row>
    <row r="24" spans="1:11" ht="15" customHeight="1" x14ac:dyDescent="0.3">
      <c r="A24"/>
      <c r="B24"/>
      <c r="C24"/>
      <c r="D24"/>
      <c r="E24"/>
      <c r="F24"/>
      <c r="G24"/>
      <c r="H24"/>
    </row>
    <row r="25" spans="1:11" ht="15" customHeight="1" x14ac:dyDescent="0.3">
      <c r="A25"/>
      <c r="B25"/>
      <c r="C25"/>
      <c r="D25"/>
      <c r="E25"/>
      <c r="F25"/>
      <c r="G25"/>
      <c r="H25"/>
    </row>
    <row r="26" spans="1:11" ht="15" customHeight="1" x14ac:dyDescent="0.3">
      <c r="A26"/>
      <c r="B26"/>
      <c r="C26"/>
      <c r="D26"/>
      <c r="E26"/>
      <c r="F26"/>
      <c r="G26"/>
      <c r="H26"/>
    </row>
    <row r="27" spans="1:11" ht="15" customHeight="1" x14ac:dyDescent="0.3">
      <c r="A27"/>
      <c r="B27"/>
      <c r="C27"/>
      <c r="D27"/>
      <c r="E27"/>
      <c r="F27"/>
      <c r="G27"/>
      <c r="H27"/>
    </row>
    <row r="28" spans="1:11" ht="15" customHeight="1" x14ac:dyDescent="0.3">
      <c r="A28"/>
      <c r="B28"/>
      <c r="C28"/>
      <c r="D28"/>
      <c r="E28"/>
      <c r="F28"/>
      <c r="G28"/>
      <c r="H28"/>
    </row>
    <row r="29" spans="1:11" ht="18.75" customHeight="1" x14ac:dyDescent="0.3">
      <c r="A29"/>
      <c r="B29"/>
      <c r="C29"/>
      <c r="D29"/>
      <c r="E29"/>
      <c r="F29"/>
      <c r="G29"/>
      <c r="H29"/>
    </row>
    <row r="30" spans="1:11" ht="18.75" customHeight="1" x14ac:dyDescent="0.3">
      <c r="A30"/>
      <c r="B30"/>
      <c r="C30"/>
      <c r="D30"/>
      <c r="E30"/>
      <c r="F30"/>
      <c r="G30"/>
      <c r="H30"/>
    </row>
  </sheetData>
  <sortState ref="A14:E15">
    <sortCondition ref="A14:A1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2.75" x14ac:dyDescent="0.2"/>
  <cols>
    <col min="1" max="1" width="30.85546875" bestFit="1" customWidth="1"/>
    <col min="2" max="2" width="12.42578125" hidden="1" customWidth="1"/>
    <col min="3" max="7" width="12.7109375" hidden="1" customWidth="1"/>
  </cols>
  <sheetData>
    <row r="1" spans="1:10" ht="23.25" customHeight="1" x14ac:dyDescent="0.25">
      <c r="A1" s="256" t="s">
        <v>327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ht="25.5" customHeight="1" x14ac:dyDescent="0.3">
      <c r="A2" s="107" t="s">
        <v>115</v>
      </c>
      <c r="B2" s="107">
        <v>2013</v>
      </c>
      <c r="C2" s="107">
        <v>2014</v>
      </c>
      <c r="D2" s="107">
        <v>2015</v>
      </c>
      <c r="E2" s="107">
        <v>2016</v>
      </c>
      <c r="F2" s="107">
        <v>2017</v>
      </c>
      <c r="G2" s="107">
        <v>2018</v>
      </c>
      <c r="H2" s="107">
        <v>2019</v>
      </c>
      <c r="I2" s="107">
        <v>2020</v>
      </c>
      <c r="J2" s="107">
        <v>2021</v>
      </c>
    </row>
    <row r="3" spans="1:10" ht="18.95" customHeight="1" x14ac:dyDescent="0.2">
      <c r="A3" s="272"/>
      <c r="B3" s="272"/>
      <c r="C3" s="272"/>
      <c r="D3" s="272"/>
      <c r="E3" s="713"/>
      <c r="F3" s="713"/>
      <c r="G3" s="713"/>
      <c r="H3" s="713"/>
      <c r="I3" s="713"/>
      <c r="J3" s="713"/>
    </row>
    <row r="4" spans="1:10" ht="18.95" customHeight="1" x14ac:dyDescent="0.3">
      <c r="A4" s="61" t="s">
        <v>328</v>
      </c>
      <c r="B4" s="531">
        <v>2100</v>
      </c>
      <c r="C4" s="531">
        <v>2300</v>
      </c>
      <c r="D4" s="531">
        <v>2300</v>
      </c>
      <c r="E4" s="643">
        <v>2300</v>
      </c>
      <c r="F4" s="643">
        <v>2300</v>
      </c>
      <c r="G4" s="643">
        <v>2300</v>
      </c>
      <c r="H4" s="643">
        <v>2400</v>
      </c>
      <c r="I4" s="643">
        <v>2400</v>
      </c>
      <c r="J4" s="643">
        <v>2400</v>
      </c>
    </row>
    <row r="5" spans="1:10" ht="22.5" customHeight="1" x14ac:dyDescent="0.3">
      <c r="A5" s="61" t="s">
        <v>332</v>
      </c>
      <c r="B5" s="40">
        <v>275</v>
      </c>
      <c r="C5" s="40">
        <v>300</v>
      </c>
      <c r="D5" s="40">
        <v>300</v>
      </c>
      <c r="E5" s="644">
        <v>300</v>
      </c>
      <c r="F5" s="644">
        <v>300</v>
      </c>
      <c r="G5" s="644">
        <v>300</v>
      </c>
      <c r="H5" s="644">
        <f>H4*0.0825</f>
        <v>198</v>
      </c>
      <c r="I5" s="644">
        <f>I4*0.0825</f>
        <v>198</v>
      </c>
      <c r="J5" s="644">
        <f>J4*0.0825</f>
        <v>198</v>
      </c>
    </row>
    <row r="6" spans="1:10" ht="18.95" customHeight="1" x14ac:dyDescent="0.3">
      <c r="A6" s="811"/>
      <c r="B6" s="40"/>
      <c r="C6" s="40"/>
      <c r="D6" s="40"/>
      <c r="E6" s="644"/>
      <c r="F6" s="644"/>
      <c r="G6" s="644"/>
      <c r="H6" s="644"/>
      <c r="I6" s="644"/>
      <c r="J6" s="644"/>
    </row>
    <row r="7" spans="1:10" ht="18.95" customHeight="1" x14ac:dyDescent="0.3">
      <c r="A7" s="812"/>
      <c r="B7" s="531"/>
      <c r="C7" s="531"/>
      <c r="D7" s="531"/>
      <c r="E7" s="643"/>
      <c r="F7" s="643"/>
      <c r="G7" s="643"/>
      <c r="H7" s="643"/>
      <c r="I7" s="643"/>
      <c r="J7" s="643"/>
    </row>
    <row r="8" spans="1:10" ht="18.95" customHeight="1" x14ac:dyDescent="0.3">
      <c r="A8" s="108"/>
      <c r="B8" s="103"/>
      <c r="C8" s="103"/>
      <c r="D8" s="103"/>
      <c r="E8" s="689"/>
      <c r="F8" s="689"/>
      <c r="G8" s="689"/>
      <c r="H8" s="689"/>
      <c r="I8" s="689"/>
      <c r="J8" s="689"/>
    </row>
    <row r="9" spans="1:10" ht="33.75" customHeight="1" x14ac:dyDescent="0.3">
      <c r="A9" s="813"/>
      <c r="B9" s="40"/>
      <c r="C9" s="40"/>
      <c r="D9" s="40"/>
      <c r="E9" s="644"/>
      <c r="F9" s="644"/>
      <c r="G9" s="644"/>
      <c r="H9" s="644"/>
      <c r="I9" s="644"/>
      <c r="J9" s="644"/>
    </row>
    <row r="10" spans="1:10" ht="18.95" customHeight="1" x14ac:dyDescent="0.3">
      <c r="A10" s="814"/>
      <c r="B10" s="103"/>
      <c r="C10" s="103"/>
      <c r="D10" s="103"/>
      <c r="E10" s="689"/>
      <c r="F10" s="689"/>
      <c r="G10" s="689"/>
      <c r="H10" s="689"/>
      <c r="I10" s="689"/>
      <c r="J10" s="689"/>
    </row>
    <row r="11" spans="1:10" ht="18.95" customHeight="1" thickBot="1" x14ac:dyDescent="0.35">
      <c r="A11" s="53"/>
      <c r="B11" s="40"/>
      <c r="C11" s="40"/>
      <c r="D11" s="40"/>
      <c r="E11" s="644"/>
      <c r="F11" s="644"/>
      <c r="G11" s="644"/>
      <c r="H11" s="644"/>
      <c r="I11" s="644"/>
      <c r="J11" s="644"/>
    </row>
    <row r="12" spans="1:10" ht="18.95" customHeight="1" thickTop="1" x14ac:dyDescent="0.3">
      <c r="A12" s="101" t="s">
        <v>113</v>
      </c>
      <c r="B12" s="110">
        <f t="shared" ref="B12:G12" si="0">SUM(B4:B11)</f>
        <v>2375</v>
      </c>
      <c r="C12" s="110">
        <f t="shared" si="0"/>
        <v>2600</v>
      </c>
      <c r="D12" s="110">
        <f t="shared" si="0"/>
        <v>2600</v>
      </c>
      <c r="E12" s="724">
        <f t="shared" si="0"/>
        <v>2600</v>
      </c>
      <c r="F12" s="724">
        <f t="shared" si="0"/>
        <v>2600</v>
      </c>
      <c r="G12" s="724">
        <f t="shared" si="0"/>
        <v>2600</v>
      </c>
      <c r="H12" s="724">
        <f t="shared" ref="H12:I12" si="1">SUM(H4:H11)</f>
        <v>2598</v>
      </c>
      <c r="I12" s="724">
        <f t="shared" si="1"/>
        <v>2598</v>
      </c>
      <c r="J12" s="724">
        <f t="shared" ref="J12" si="2">SUM(J4:J11)</f>
        <v>2598</v>
      </c>
    </row>
    <row r="13" spans="1:10" x14ac:dyDescent="0.2">
      <c r="A13" s="257"/>
      <c r="B13" s="22"/>
      <c r="C13" s="22"/>
      <c r="D13" s="245"/>
      <c r="E13" s="245"/>
      <c r="F13" s="245"/>
      <c r="G13" s="245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/>
  </sheetViews>
  <sheetFormatPr defaultColWidth="9.140625" defaultRowHeight="12.75" x14ac:dyDescent="0.2"/>
  <cols>
    <col min="1" max="1" width="45.140625" style="22" customWidth="1"/>
    <col min="2" max="4" width="11.28515625" style="22" hidden="1" customWidth="1"/>
    <col min="5" max="5" width="11.5703125" style="22" hidden="1" customWidth="1"/>
    <col min="6" max="7" width="11.28515625" style="22" hidden="1" customWidth="1"/>
    <col min="8" max="8" width="11.28515625" style="22" customWidth="1"/>
    <col min="9" max="10" width="11" style="22" bestFit="1" customWidth="1"/>
    <col min="11" max="11" width="9.5703125" style="22" bestFit="1" customWidth="1"/>
    <col min="12" max="12" width="9.140625" style="22"/>
    <col min="13" max="13" width="10.7109375" style="22" bestFit="1" customWidth="1"/>
    <col min="14" max="16384" width="9.140625" style="22"/>
  </cols>
  <sheetData>
    <row r="1" spans="1:14" ht="16.5" x14ac:dyDescent="0.3">
      <c r="A1" s="213" t="s">
        <v>550</v>
      </c>
      <c r="B1" s="200"/>
      <c r="C1" s="200"/>
      <c r="D1" s="200"/>
      <c r="E1" s="200"/>
      <c r="F1" s="200"/>
      <c r="G1" s="200"/>
      <c r="H1" s="200"/>
      <c r="I1" s="200"/>
      <c r="J1" s="200"/>
      <c r="K1" s="109"/>
    </row>
    <row r="2" spans="1:14" ht="18.75" customHeight="1" x14ac:dyDescent="0.3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109"/>
    </row>
    <row r="3" spans="1:14" ht="18.75" customHeight="1" x14ac:dyDescent="0.3">
      <c r="A3" s="188" t="s">
        <v>115</v>
      </c>
      <c r="B3" s="394">
        <v>2013</v>
      </c>
      <c r="C3" s="394">
        <v>2014</v>
      </c>
      <c r="D3" s="394">
        <v>2015</v>
      </c>
      <c r="E3" s="394">
        <v>2016</v>
      </c>
      <c r="F3" s="394">
        <v>2017</v>
      </c>
      <c r="G3" s="394">
        <v>2018</v>
      </c>
      <c r="H3" s="394">
        <v>2019</v>
      </c>
      <c r="I3" s="394">
        <v>2020</v>
      </c>
      <c r="J3" s="394">
        <v>2021</v>
      </c>
      <c r="K3" s="109"/>
    </row>
    <row r="4" spans="1:14" ht="20.100000000000001" customHeight="1" x14ac:dyDescent="0.3">
      <c r="A4" s="67" t="s">
        <v>191</v>
      </c>
      <c r="B4" s="105">
        <v>148260</v>
      </c>
      <c r="C4" s="105">
        <v>156333.63</v>
      </c>
      <c r="D4" s="105">
        <v>164446.14000000001</v>
      </c>
      <c r="E4" s="723">
        <v>168094.01</v>
      </c>
      <c r="F4" s="723">
        <v>174842</v>
      </c>
      <c r="G4" s="723">
        <v>193577</v>
      </c>
      <c r="H4" s="723">
        <v>211655</v>
      </c>
      <c r="I4" s="723">
        <v>225078</v>
      </c>
      <c r="J4" s="723">
        <f>'642 PAYROLL'!K47*0.0765</f>
        <v>236373.72910200001</v>
      </c>
      <c r="K4" s="774"/>
    </row>
    <row r="5" spans="1:14" ht="20.100000000000001" customHeight="1" x14ac:dyDescent="0.3">
      <c r="A5" s="64" t="s">
        <v>405</v>
      </c>
      <c r="B5" s="105">
        <v>5250</v>
      </c>
      <c r="C5" s="105">
        <v>5250</v>
      </c>
      <c r="D5" s="105">
        <v>5250</v>
      </c>
      <c r="E5" s="723">
        <v>5250</v>
      </c>
      <c r="F5" s="723">
        <v>5250</v>
      </c>
      <c r="G5" s="723">
        <v>5250</v>
      </c>
      <c r="H5" s="723">
        <v>5250</v>
      </c>
      <c r="I5" s="723">
        <v>5250</v>
      </c>
      <c r="J5" s="723">
        <v>5250</v>
      </c>
      <c r="K5" s="775"/>
    </row>
    <row r="6" spans="1:14" ht="20.100000000000001" customHeight="1" x14ac:dyDescent="0.3">
      <c r="A6" s="776" t="s">
        <v>255</v>
      </c>
      <c r="B6" s="777">
        <v>240759.72</v>
      </c>
      <c r="C6" s="1053">
        <v>349857.84</v>
      </c>
      <c r="D6" s="1053">
        <v>376097.18</v>
      </c>
      <c r="E6" s="1059">
        <v>404304.47</v>
      </c>
      <c r="F6" s="1059">
        <f>(40000*12)-86000</f>
        <v>394000</v>
      </c>
      <c r="G6" s="1059">
        <f>(40000*12)</f>
        <v>480000</v>
      </c>
      <c r="H6" s="1059">
        <f>(40000*12)</f>
        <v>480000</v>
      </c>
      <c r="I6" s="1059">
        <v>511253</v>
      </c>
      <c r="J6" s="1059">
        <f>((1428.42+96.76+18.28+0.078+0.03)*33*12)-100000</f>
        <v>511252.92799999996</v>
      </c>
      <c r="K6" s="1055">
        <f>SUM(J6:J8)</f>
        <v>425252.92799999996</v>
      </c>
    </row>
    <row r="7" spans="1:14" ht="20.100000000000001" hidden="1" customHeight="1" x14ac:dyDescent="0.3">
      <c r="A7" s="64" t="s">
        <v>831</v>
      </c>
      <c r="B7" s="778"/>
      <c r="C7" s="1054"/>
      <c r="D7" s="1054"/>
      <c r="E7" s="1060"/>
      <c r="F7" s="1060"/>
      <c r="G7" s="1060"/>
      <c r="H7" s="1060"/>
      <c r="I7" s="1060"/>
      <c r="J7" s="1060"/>
      <c r="K7" s="1056"/>
      <c r="N7" s="247"/>
    </row>
    <row r="8" spans="1:14" ht="20.100000000000001" customHeight="1" x14ac:dyDescent="0.3">
      <c r="A8" s="111" t="s">
        <v>547</v>
      </c>
      <c r="B8" s="608">
        <v>-25813</v>
      </c>
      <c r="C8" s="779">
        <v>-82791.240000000005</v>
      </c>
      <c r="D8" s="779">
        <v>-65497.18</v>
      </c>
      <c r="E8" s="780">
        <v>-40000</v>
      </c>
      <c r="F8" s="780">
        <v>0</v>
      </c>
      <c r="G8" s="780">
        <v>-86000</v>
      </c>
      <c r="H8" s="780">
        <v>-86000</v>
      </c>
      <c r="I8" s="780">
        <v>-86000</v>
      </c>
      <c r="J8" s="780">
        <v>-86000</v>
      </c>
      <c r="K8" s="1057"/>
    </row>
    <row r="9" spans="1:14" ht="20.100000000000001" customHeight="1" x14ac:dyDescent="0.3">
      <c r="A9" s="781" t="s">
        <v>616</v>
      </c>
      <c r="B9" s="782">
        <v>10437.700000000001</v>
      </c>
      <c r="C9" s="782">
        <v>10600</v>
      </c>
      <c r="D9" s="782">
        <v>10600</v>
      </c>
      <c r="E9" s="783">
        <v>11000</v>
      </c>
      <c r="F9" s="783">
        <f>(1600*12)-7200</f>
        <v>12000</v>
      </c>
      <c r="G9" s="783">
        <f>(1600*12)-7200</f>
        <v>12000</v>
      </c>
      <c r="H9" s="963">
        <f>(1800*12)-7200</f>
        <v>14400</v>
      </c>
      <c r="I9" s="954">
        <v>0</v>
      </c>
      <c r="J9" s="984">
        <v>0</v>
      </c>
      <c r="K9" s="784"/>
    </row>
    <row r="10" spans="1:14" ht="20.100000000000001" customHeight="1" x14ac:dyDescent="0.3">
      <c r="A10" s="785" t="s">
        <v>832</v>
      </c>
      <c r="B10" s="786">
        <v>8048</v>
      </c>
      <c r="C10" s="786">
        <v>11500</v>
      </c>
      <c r="D10" s="786">
        <v>13600</v>
      </c>
      <c r="E10" s="787">
        <v>13600</v>
      </c>
      <c r="F10" s="787">
        <v>13600</v>
      </c>
      <c r="G10" s="787">
        <v>13600</v>
      </c>
      <c r="H10" s="787">
        <v>13800</v>
      </c>
      <c r="I10" s="787">
        <v>13800</v>
      </c>
      <c r="J10" s="787">
        <v>13800</v>
      </c>
      <c r="K10" s="1055">
        <f>J10+J11+J12</f>
        <v>51800</v>
      </c>
    </row>
    <row r="11" spans="1:14" ht="20.100000000000001" customHeight="1" x14ac:dyDescent="0.3">
      <c r="A11" s="108" t="s">
        <v>765</v>
      </c>
      <c r="B11" s="194">
        <v>2452</v>
      </c>
      <c r="C11" s="194"/>
      <c r="D11" s="194"/>
      <c r="E11" s="634">
        <v>0</v>
      </c>
      <c r="F11" s="634">
        <v>0</v>
      </c>
      <c r="G11" s="634">
        <v>0</v>
      </c>
      <c r="H11" s="634">
        <v>0</v>
      </c>
      <c r="I11" s="634">
        <f>2900*12</f>
        <v>34800</v>
      </c>
      <c r="J11" s="634">
        <f>2900*12</f>
        <v>34800</v>
      </c>
      <c r="K11" s="1056"/>
    </row>
    <row r="12" spans="1:14" ht="20.100000000000001" customHeight="1" x14ac:dyDescent="0.3">
      <c r="A12" s="788" t="s">
        <v>303</v>
      </c>
      <c r="B12" s="608">
        <v>3000</v>
      </c>
      <c r="C12" s="608">
        <v>2100</v>
      </c>
      <c r="D12" s="608">
        <v>3000</v>
      </c>
      <c r="E12" s="636">
        <v>3000</v>
      </c>
      <c r="F12" s="636">
        <v>3000</v>
      </c>
      <c r="G12" s="636">
        <v>3000</v>
      </c>
      <c r="H12" s="636">
        <v>3200</v>
      </c>
      <c r="I12" s="636">
        <v>3200</v>
      </c>
      <c r="J12" s="636">
        <v>3200</v>
      </c>
      <c r="K12" s="1057"/>
    </row>
    <row r="13" spans="1:14" ht="20.100000000000001" customHeight="1" x14ac:dyDescent="0.3">
      <c r="A13" s="776" t="s">
        <v>192</v>
      </c>
      <c r="B13" s="789">
        <v>36743.928508249599</v>
      </c>
      <c r="C13" s="789">
        <v>36743.93</v>
      </c>
      <c r="D13" s="789">
        <v>37225.24</v>
      </c>
      <c r="E13" s="790">
        <v>38202.44</v>
      </c>
      <c r="F13" s="790">
        <v>39645</v>
      </c>
      <c r="G13" s="790">
        <v>48128</v>
      </c>
      <c r="H13" s="790">
        <v>53130</v>
      </c>
      <c r="I13" s="790">
        <v>61519</v>
      </c>
      <c r="J13" s="790">
        <f>('642 PAYROLL'!K37+'642 PAYROLL'!K40+'642 PAYROLL'!K43)/100*'642 PAYROLL'!I54*'642 PAYROLL'!J54*'642 PAYROLL'!K54</f>
        <v>64769.994463820796</v>
      </c>
      <c r="K13" s="1051">
        <f>SUM(J13:J18)</f>
        <v>65857.361126374395</v>
      </c>
      <c r="N13" s="247"/>
    </row>
    <row r="14" spans="1:14" ht="20.100000000000001" customHeight="1" x14ac:dyDescent="0.3">
      <c r="A14" s="52" t="s">
        <v>193</v>
      </c>
      <c r="B14" s="106">
        <v>1046.0347559270401</v>
      </c>
      <c r="C14" s="106">
        <v>1046.03</v>
      </c>
      <c r="D14" s="106">
        <v>1370.91</v>
      </c>
      <c r="E14" s="791">
        <v>1385.5</v>
      </c>
      <c r="F14" s="791">
        <v>1462</v>
      </c>
      <c r="G14" s="791">
        <v>972</v>
      </c>
      <c r="H14" s="791">
        <v>976</v>
      </c>
      <c r="I14" s="791">
        <v>277</v>
      </c>
      <c r="J14" s="791">
        <f>('642 PAYROLL'!K41)/100*'642 PAYROLL'!I55*'642 PAYROLL'!J55*'642 PAYROLL'!K55</f>
        <v>287.48186255359991</v>
      </c>
      <c r="K14" s="1058"/>
    </row>
    <row r="15" spans="1:14" ht="20.100000000000001" customHeight="1" x14ac:dyDescent="0.3">
      <c r="A15" s="64" t="s">
        <v>37</v>
      </c>
      <c r="B15" s="106">
        <v>443.52</v>
      </c>
      <c r="C15" s="106">
        <v>443.52</v>
      </c>
      <c r="D15" s="106">
        <v>443.52</v>
      </c>
      <c r="E15" s="791">
        <f>'642 PAYROLL'!G57</f>
        <v>443.52</v>
      </c>
      <c r="F15" s="791">
        <v>444</v>
      </c>
      <c r="G15" s="791">
        <v>444</v>
      </c>
      <c r="H15" s="791">
        <v>444</v>
      </c>
      <c r="I15" s="791">
        <v>444</v>
      </c>
      <c r="J15" s="791">
        <f>'642 PAYROLL'!G57</f>
        <v>443.52</v>
      </c>
      <c r="K15" s="1058"/>
    </row>
    <row r="16" spans="1:14" ht="20.100000000000001" customHeight="1" x14ac:dyDescent="0.3">
      <c r="A16" s="64" t="s">
        <v>663</v>
      </c>
      <c r="B16" s="106">
        <v>272.44800000000004</v>
      </c>
      <c r="C16" s="106">
        <v>272.45</v>
      </c>
      <c r="D16" s="106">
        <v>211.9</v>
      </c>
      <c r="E16" s="791">
        <f>'642 PAYROLL'!K44/100*'642 PAYROLL'!I57*'642 PAYROLL'!J57*'642 PAYROLL'!K57</f>
        <v>348.12800000000004</v>
      </c>
      <c r="F16" s="791">
        <v>212</v>
      </c>
      <c r="G16" s="791">
        <v>303</v>
      </c>
      <c r="H16" s="791">
        <v>348</v>
      </c>
      <c r="I16" s="791">
        <v>348</v>
      </c>
      <c r="J16" s="791">
        <f>'642 PAYROLL'!K44/100*'642 PAYROLL'!I57*'642 PAYROLL'!J57*'642 PAYROLL'!K57</f>
        <v>348.12800000000004</v>
      </c>
      <c r="K16" s="1058"/>
    </row>
    <row r="17" spans="1:11" ht="20.100000000000001" customHeight="1" x14ac:dyDescent="0.3">
      <c r="A17" s="64" t="s">
        <v>664</v>
      </c>
      <c r="B17" s="792">
        <v>8.2368000000000006</v>
      </c>
      <c r="C17" s="792">
        <v>8.24</v>
      </c>
      <c r="D17" s="792">
        <v>8.24</v>
      </c>
      <c r="E17" s="793">
        <f>3000/100*'642 PAYROLL'!I58*'642 PAYROLL'!J58*'642 PAYROLL'!K58</f>
        <v>8.2368000000000006</v>
      </c>
      <c r="F17" s="793">
        <v>8</v>
      </c>
      <c r="G17" s="793">
        <v>8</v>
      </c>
      <c r="H17" s="793">
        <v>8</v>
      </c>
      <c r="I17" s="793">
        <v>8</v>
      </c>
      <c r="J17" s="793">
        <f>3000/100*'642 PAYROLL'!I58*'642 PAYROLL'!J58*'642 PAYROLL'!K58</f>
        <v>8.2368000000000006</v>
      </c>
      <c r="K17" s="1058"/>
    </row>
    <row r="18" spans="1:11" ht="20.100000000000001" customHeight="1" x14ac:dyDescent="0.3">
      <c r="A18" s="111" t="s">
        <v>353</v>
      </c>
      <c r="B18" s="794">
        <v>-1589</v>
      </c>
      <c r="C18" s="794">
        <v>-1589</v>
      </c>
      <c r="D18" s="794">
        <v>-1589</v>
      </c>
      <c r="E18" s="795">
        <v>-1589</v>
      </c>
      <c r="F18" s="795">
        <v>0</v>
      </c>
      <c r="G18" s="795">
        <v>0</v>
      </c>
      <c r="H18" s="795">
        <v>0</v>
      </c>
      <c r="I18" s="795">
        <v>0</v>
      </c>
      <c r="J18" s="795">
        <f>'642 PAYROLL'!G60</f>
        <v>0</v>
      </c>
      <c r="K18" s="1052"/>
    </row>
    <row r="19" spans="1:11" ht="20.100000000000001" customHeight="1" x14ac:dyDescent="0.3">
      <c r="A19" s="64" t="s">
        <v>449</v>
      </c>
      <c r="B19" s="106">
        <v>15000</v>
      </c>
      <c r="C19" s="106">
        <v>15000</v>
      </c>
      <c r="D19" s="106">
        <v>20000</v>
      </c>
      <c r="E19" s="791">
        <v>22000</v>
      </c>
      <c r="F19" s="791">
        <v>22000</v>
      </c>
      <c r="G19" s="791">
        <v>18000</v>
      </c>
      <c r="H19" s="791">
        <v>20000</v>
      </c>
      <c r="I19" s="791">
        <v>30000</v>
      </c>
      <c r="J19" s="791">
        <v>30000</v>
      </c>
      <c r="K19" s="796"/>
    </row>
    <row r="20" spans="1:11" ht="20.100000000000001" customHeight="1" x14ac:dyDescent="0.3">
      <c r="A20" s="797" t="s">
        <v>161</v>
      </c>
      <c r="B20" s="798">
        <v>480</v>
      </c>
      <c r="C20" s="798">
        <v>480</v>
      </c>
      <c r="D20" s="798">
        <v>480</v>
      </c>
      <c r="E20" s="799">
        <f>40*12</f>
        <v>480</v>
      </c>
      <c r="F20" s="799">
        <f>40*12</f>
        <v>480</v>
      </c>
      <c r="G20" s="799">
        <f>40*12</f>
        <v>480</v>
      </c>
      <c r="H20" s="799">
        <f>45*12</f>
        <v>540</v>
      </c>
      <c r="I20" s="799">
        <f>50*12</f>
        <v>600</v>
      </c>
      <c r="J20" s="799">
        <f>50*12</f>
        <v>600</v>
      </c>
      <c r="K20" s="1051">
        <f>J20+J21+J22</f>
        <v>11650</v>
      </c>
    </row>
    <row r="21" spans="1:11" ht="20.100000000000001" customHeight="1" x14ac:dyDescent="0.3">
      <c r="A21" s="67" t="s">
        <v>833</v>
      </c>
      <c r="B21" s="800">
        <v>9500</v>
      </c>
      <c r="C21" s="800">
        <v>9500</v>
      </c>
      <c r="D21" s="800">
        <v>10392</v>
      </c>
      <c r="E21" s="801">
        <f>866*12</f>
        <v>10392</v>
      </c>
      <c r="F21" s="801">
        <f>866*12</f>
        <v>10392</v>
      </c>
      <c r="G21" s="801">
        <f>866*12</f>
        <v>10392</v>
      </c>
      <c r="H21" s="801">
        <f>886*12</f>
        <v>10632</v>
      </c>
      <c r="I21" s="801">
        <f>890*12</f>
        <v>10680</v>
      </c>
      <c r="J21" s="801">
        <f>425*26</f>
        <v>11050</v>
      </c>
      <c r="K21" s="1052"/>
    </row>
    <row r="22" spans="1:11" ht="20.100000000000001" hidden="1" customHeight="1" x14ac:dyDescent="0.3">
      <c r="A22" s="67" t="s">
        <v>334</v>
      </c>
      <c r="B22" s="800">
        <v>0</v>
      </c>
      <c r="C22" s="800">
        <v>0</v>
      </c>
      <c r="D22" s="800">
        <v>0</v>
      </c>
      <c r="E22" s="801"/>
      <c r="F22" s="801"/>
      <c r="G22" s="801"/>
      <c r="H22" s="801"/>
      <c r="I22" s="801"/>
      <c r="J22" s="801"/>
      <c r="K22" s="795"/>
    </row>
    <row r="23" spans="1:11" ht="20.100000000000001" customHeight="1" x14ac:dyDescent="0.3">
      <c r="A23" s="797" t="s">
        <v>294</v>
      </c>
      <c r="B23" s="802">
        <v>2000</v>
      </c>
      <c r="C23" s="802">
        <v>2000</v>
      </c>
      <c r="D23" s="802">
        <v>2000</v>
      </c>
      <c r="E23" s="803">
        <v>2000</v>
      </c>
      <c r="F23" s="803">
        <v>2000</v>
      </c>
      <c r="G23" s="803">
        <v>2000</v>
      </c>
      <c r="H23" s="803">
        <v>2000</v>
      </c>
      <c r="I23" s="803">
        <v>2000</v>
      </c>
      <c r="J23" s="803">
        <v>2000</v>
      </c>
      <c r="K23" s="804"/>
    </row>
    <row r="24" spans="1:11" ht="20.100000000000001" customHeight="1" x14ac:dyDescent="0.3">
      <c r="A24" s="805" t="s">
        <v>313</v>
      </c>
      <c r="B24" s="806">
        <v>177485.82</v>
      </c>
      <c r="C24" s="806">
        <v>189168.64000000001</v>
      </c>
      <c r="D24" s="806">
        <v>201448.4</v>
      </c>
      <c r="E24" s="807">
        <v>206173.94</v>
      </c>
      <c r="F24" s="807">
        <v>214551</v>
      </c>
      <c r="G24" s="807">
        <v>333828</v>
      </c>
      <c r="H24" s="807">
        <v>367604</v>
      </c>
      <c r="I24" s="807">
        <v>387564</v>
      </c>
      <c r="J24" s="807">
        <f>'642 PAYROLL'!G64</f>
        <v>407908.6004</v>
      </c>
      <c r="K24" s="804"/>
    </row>
    <row r="25" spans="1:11" ht="20.100000000000001" customHeight="1" x14ac:dyDescent="0.3">
      <c r="A25" s="808"/>
      <c r="B25" s="786"/>
      <c r="C25" s="786"/>
      <c r="D25" s="786"/>
      <c r="E25" s="787"/>
      <c r="F25" s="787"/>
      <c r="G25" s="787"/>
      <c r="H25" s="787"/>
      <c r="I25" s="787"/>
      <c r="J25" s="787"/>
      <c r="K25" s="804"/>
    </row>
    <row r="26" spans="1:11" ht="20.100000000000001" customHeight="1" x14ac:dyDescent="0.3">
      <c r="A26" s="809"/>
      <c r="B26" s="608"/>
      <c r="C26" s="608"/>
      <c r="D26" s="608"/>
      <c r="E26" s="636"/>
      <c r="F26" s="636"/>
      <c r="G26" s="636"/>
      <c r="H26" s="636"/>
      <c r="I26" s="636"/>
      <c r="J26" s="636"/>
      <c r="K26" s="804"/>
    </row>
    <row r="27" spans="1:11" ht="20.100000000000001" customHeight="1" x14ac:dyDescent="0.3">
      <c r="A27" s="810" t="s">
        <v>158</v>
      </c>
      <c r="B27" s="370">
        <f>SUM(B4:B26)</f>
        <v>633785.40806417656</v>
      </c>
      <c r="C27" s="370">
        <f>SUM(C4:C26)</f>
        <v>705924.04</v>
      </c>
      <c r="D27" s="370">
        <f>SUM(D4:D26)</f>
        <v>779487.35000000021</v>
      </c>
      <c r="E27" s="708">
        <f>SUM(E4:E26)-0.01</f>
        <v>845093.23479999998</v>
      </c>
      <c r="F27" s="708">
        <f>SUM(F4:F26)</f>
        <v>893886</v>
      </c>
      <c r="G27" s="708">
        <f>SUM(G4:G26)</f>
        <v>1035982</v>
      </c>
      <c r="H27" s="708">
        <f>SUM(H4:H26)</f>
        <v>1097987</v>
      </c>
      <c r="I27" s="708">
        <f>SUM(I4:I26)</f>
        <v>1200821</v>
      </c>
      <c r="J27" s="708">
        <f>SUM(J4:J26)</f>
        <v>1236092.6186283743</v>
      </c>
      <c r="K27" s="804"/>
    </row>
    <row r="28" spans="1:11" ht="11.25" customHeight="1" x14ac:dyDescent="0.2">
      <c r="D28" s="90"/>
      <c r="E28" s="90"/>
      <c r="F28" s="90"/>
      <c r="G28" s="90"/>
    </row>
    <row r="29" spans="1:11" x14ac:dyDescent="0.2">
      <c r="D29" s="320"/>
      <c r="E29" s="320"/>
      <c r="F29" s="320"/>
      <c r="G29" s="320"/>
    </row>
    <row r="30" spans="1:11" ht="15.75" customHeight="1" x14ac:dyDescent="0.2"/>
  </sheetData>
  <mergeCells count="12">
    <mergeCell ref="K20:K21"/>
    <mergeCell ref="C6:C7"/>
    <mergeCell ref="D6:D7"/>
    <mergeCell ref="K6:K8"/>
    <mergeCell ref="K10:K12"/>
    <mergeCell ref="K13:K18"/>
    <mergeCell ref="G6:G7"/>
    <mergeCell ref="E6:E7"/>
    <mergeCell ref="F6:F7"/>
    <mergeCell ref="H6:H7"/>
    <mergeCell ref="I6:I7"/>
    <mergeCell ref="J6:J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8.28515625" style="22" customWidth="1"/>
    <col min="2" max="2" width="4.5703125" style="22" bestFit="1" customWidth="1"/>
    <col min="3" max="3" width="8.28515625" style="22" customWidth="1"/>
    <col min="4" max="4" width="4" style="22" bestFit="1" customWidth="1"/>
    <col min="5" max="5" width="10.7109375" style="22" customWidth="1"/>
    <col min="6" max="6" width="11.140625" style="22" customWidth="1"/>
    <col min="7" max="7" width="13" style="22" customWidth="1"/>
    <col min="8" max="8" width="6.140625" style="368" customWidth="1"/>
    <col min="9" max="9" width="6.140625" style="22" customWidth="1"/>
    <col min="10" max="10" width="7.7109375" style="22" customWidth="1"/>
    <col min="11" max="11" width="11.7109375" style="22" customWidth="1"/>
    <col min="12" max="12" width="9.28515625" style="22" customWidth="1"/>
    <col min="13" max="13" width="10.7109375" style="22" customWidth="1"/>
    <col min="14" max="14" width="6.5703125" style="22" customWidth="1"/>
    <col min="15" max="15" width="9.85546875" style="22" customWidth="1"/>
    <col min="16" max="16" width="11.28515625" style="22" bestFit="1" customWidth="1"/>
    <col min="17" max="17" width="11.5703125" style="22" bestFit="1" customWidth="1"/>
    <col min="18" max="16384" width="9.140625" style="22"/>
  </cols>
  <sheetData>
    <row r="1" spans="1:19" ht="18" x14ac:dyDescent="0.25">
      <c r="A1" s="945" t="s">
        <v>44</v>
      </c>
      <c r="B1" s="946" t="s">
        <v>45</v>
      </c>
      <c r="C1" s="946" t="s">
        <v>46</v>
      </c>
      <c r="D1" s="946" t="s">
        <v>47</v>
      </c>
      <c r="E1" s="946" t="s">
        <v>293</v>
      </c>
      <c r="F1" s="946" t="s">
        <v>352</v>
      </c>
      <c r="G1" s="946" t="s">
        <v>48</v>
      </c>
      <c r="H1" s="946" t="s">
        <v>447</v>
      </c>
      <c r="I1" s="946" t="s">
        <v>448</v>
      </c>
      <c r="J1" s="946" t="s">
        <v>531</v>
      </c>
      <c r="K1" s="946" t="s">
        <v>390</v>
      </c>
      <c r="L1" s="946" t="s">
        <v>301</v>
      </c>
      <c r="M1" s="947" t="s">
        <v>578</v>
      </c>
      <c r="N1" s="948"/>
      <c r="P1" s="1064" t="s">
        <v>371</v>
      </c>
      <c r="Q1" s="1065"/>
      <c r="R1" s="1066"/>
    </row>
    <row r="2" spans="1:19" x14ac:dyDescent="0.2">
      <c r="A2" s="519" t="s">
        <v>785</v>
      </c>
      <c r="B2" s="378">
        <v>29</v>
      </c>
      <c r="C2" s="462">
        <f>M3+I2+H2</f>
        <v>37.316399999999994</v>
      </c>
      <c r="D2" s="378">
        <v>26</v>
      </c>
      <c r="E2" s="462">
        <f t="shared" ref="E2" si="0">106*C2*D2</f>
        <v>102843.99839999998</v>
      </c>
      <c r="F2" s="462">
        <f t="shared" ref="F2" si="1">9*C2*D2</f>
        <v>8732.0375999999978</v>
      </c>
      <c r="G2" s="462">
        <f t="shared" ref="G2" si="2">E2+F2</f>
        <v>111576.03599999998</v>
      </c>
      <c r="H2" s="628">
        <f>0.22+0.3+0.44+0.33+0.44</f>
        <v>1.73</v>
      </c>
      <c r="I2" s="628">
        <f>P31</f>
        <v>5</v>
      </c>
      <c r="J2" s="879">
        <v>300</v>
      </c>
      <c r="K2" s="880">
        <f>G2+J2</f>
        <v>111876.03599999998</v>
      </c>
      <c r="L2" s="881">
        <v>37009</v>
      </c>
      <c r="M2" s="916"/>
      <c r="P2" s="586" t="s">
        <v>401</v>
      </c>
      <c r="Q2" s="586" t="s">
        <v>402</v>
      </c>
      <c r="R2" s="586" t="s">
        <v>548</v>
      </c>
    </row>
    <row r="3" spans="1:19" x14ac:dyDescent="0.2">
      <c r="A3" s="373" t="s">
        <v>786</v>
      </c>
      <c r="B3" s="375">
        <v>16</v>
      </c>
      <c r="C3" s="460">
        <f>M3+H3+I3</f>
        <v>37.066400000000002</v>
      </c>
      <c r="D3" s="375">
        <v>26</v>
      </c>
      <c r="E3" s="460">
        <f>106*C3*D3</f>
        <v>102154.99840000001</v>
      </c>
      <c r="F3" s="460">
        <f>9*C3*D3</f>
        <v>8673.5375999999997</v>
      </c>
      <c r="G3" s="460">
        <f>E3+F3</f>
        <v>110828.53600000001</v>
      </c>
      <c r="H3" s="542">
        <f>0.22+0.39+0.44+0.88+0.33+0.22</f>
        <v>2.4800000000000004</v>
      </c>
      <c r="I3" s="542">
        <f>P18</f>
        <v>4</v>
      </c>
      <c r="J3" s="539">
        <v>300</v>
      </c>
      <c r="K3" s="418">
        <f>G3+J3</f>
        <v>111128.53600000001</v>
      </c>
      <c r="L3" s="507">
        <v>38299</v>
      </c>
      <c r="M3" s="917">
        <f>(29.41)*1.04</f>
        <v>30.586400000000001</v>
      </c>
      <c r="P3" s="587">
        <v>0.25</v>
      </c>
      <c r="Q3" s="955">
        <v>1</v>
      </c>
      <c r="R3" s="69"/>
    </row>
    <row r="4" spans="1:19" x14ac:dyDescent="0.2">
      <c r="A4" s="904" t="s">
        <v>787</v>
      </c>
      <c r="B4" s="506">
        <v>15</v>
      </c>
      <c r="C4" s="905">
        <f>M3+I4+H4</f>
        <v>36.706399999999995</v>
      </c>
      <c r="D4" s="506">
        <v>26</v>
      </c>
      <c r="E4" s="905">
        <f>106*C4*D4</f>
        <v>101162.83839999999</v>
      </c>
      <c r="F4" s="905">
        <f>9*C4*D4</f>
        <v>8589.2975999999981</v>
      </c>
      <c r="G4" s="905">
        <f>E4+F4</f>
        <v>109752.136</v>
      </c>
      <c r="H4" s="906">
        <f>0.22+0.39+0.22+0.88+0.44+0.22</f>
        <v>2.37</v>
      </c>
      <c r="I4" s="906">
        <f>P17</f>
        <v>3.75</v>
      </c>
      <c r="J4" s="506">
        <v>300</v>
      </c>
      <c r="K4" s="907">
        <f>G4+J4</f>
        <v>110052.136</v>
      </c>
      <c r="L4" s="908">
        <v>38677</v>
      </c>
      <c r="M4" s="918"/>
      <c r="N4" s="889"/>
      <c r="P4" s="587">
        <f t="shared" ref="P4:P9" si="3">P3+R4</f>
        <v>0.5</v>
      </c>
      <c r="Q4" s="955">
        <v>2</v>
      </c>
      <c r="R4" s="69">
        <v>0.25</v>
      </c>
    </row>
    <row r="5" spans="1:19" x14ac:dyDescent="0.2">
      <c r="A5" s="377" t="s">
        <v>788</v>
      </c>
      <c r="B5" s="378">
        <v>26</v>
      </c>
      <c r="C5" s="462">
        <f>M6+H5+I5</f>
        <v>36.135600000000004</v>
      </c>
      <c r="D5" s="378">
        <v>26</v>
      </c>
      <c r="E5" s="462">
        <f>106*C5*D5</f>
        <v>99589.713600000003</v>
      </c>
      <c r="F5" s="462">
        <f>9*C5*D5</f>
        <v>8455.7304000000004</v>
      </c>
      <c r="G5" s="462">
        <f>E5+F5</f>
        <v>108045.444</v>
      </c>
      <c r="H5" s="628">
        <f>0.22+0.3+0.22+0.88+0.33+0.44</f>
        <v>2.39</v>
      </c>
      <c r="I5" s="628">
        <f>P28</f>
        <v>5</v>
      </c>
      <c r="J5" s="879">
        <v>300</v>
      </c>
      <c r="K5" s="880">
        <f>G5+J5</f>
        <v>108345.444</v>
      </c>
      <c r="L5" s="914">
        <v>37878</v>
      </c>
      <c r="M5" s="90"/>
      <c r="P5" s="587">
        <f t="shared" si="3"/>
        <v>0.75</v>
      </c>
      <c r="Q5" s="955">
        <v>3</v>
      </c>
      <c r="R5" s="69">
        <v>0.25</v>
      </c>
    </row>
    <row r="6" spans="1:19" x14ac:dyDescent="0.2">
      <c r="A6" s="377" t="s">
        <v>789</v>
      </c>
      <c r="B6" s="378">
        <v>15</v>
      </c>
      <c r="C6" s="462">
        <f>M6+H6+I6</f>
        <v>34.005600000000001</v>
      </c>
      <c r="D6" s="378">
        <v>26</v>
      </c>
      <c r="E6" s="462">
        <f>106*C6*D6</f>
        <v>93719.433600000004</v>
      </c>
      <c r="F6" s="462">
        <f>9*C6*D6</f>
        <v>7957.3104000000003</v>
      </c>
      <c r="G6" s="462">
        <f>E6+F6</f>
        <v>101676.74400000001</v>
      </c>
      <c r="H6" s="628">
        <f>0.22+0.3+0.22+0.22+0.33+0.22</f>
        <v>1.51</v>
      </c>
      <c r="I6" s="628">
        <f>P17</f>
        <v>3.75</v>
      </c>
      <c r="J6" s="378">
        <v>300</v>
      </c>
      <c r="K6" s="880">
        <f>G6+J6</f>
        <v>101976.74400000001</v>
      </c>
      <c r="L6" s="888">
        <v>38942</v>
      </c>
      <c r="M6" s="510">
        <f>(27.64)*1.04</f>
        <v>28.745600000000003</v>
      </c>
      <c r="P6" s="587">
        <f t="shared" si="3"/>
        <v>1</v>
      </c>
      <c r="Q6" s="955">
        <v>4</v>
      </c>
      <c r="R6" s="69">
        <v>0.25</v>
      </c>
      <c r="S6"/>
    </row>
    <row r="7" spans="1:19" x14ac:dyDescent="0.2">
      <c r="A7" s="376" t="s">
        <v>806</v>
      </c>
      <c r="B7" s="416">
        <v>13</v>
      </c>
      <c r="C7" s="461">
        <f>M6+I7+H7</f>
        <v>34.195600000000006</v>
      </c>
      <c r="D7" s="416">
        <v>26</v>
      </c>
      <c r="E7" s="461">
        <f t="shared" ref="E7" si="4">106*C7*D7</f>
        <v>94243.073600000018</v>
      </c>
      <c r="F7" s="461">
        <f t="shared" ref="F7" si="5">9*C7*D7</f>
        <v>8001.7704000000012</v>
      </c>
      <c r="G7" s="461">
        <f t="shared" ref="G7" si="6">E7+F7</f>
        <v>102244.84400000001</v>
      </c>
      <c r="H7" s="627">
        <f>0.22+0.22+0.22+0.88+0.33+0.33</f>
        <v>2.2000000000000002</v>
      </c>
      <c r="I7" s="627">
        <f>P15</f>
        <v>3.25</v>
      </c>
      <c r="J7" s="416">
        <v>300</v>
      </c>
      <c r="K7" s="884">
        <f t="shared" ref="K7" si="7">G7+J7</f>
        <v>102544.84400000001</v>
      </c>
      <c r="L7" s="885">
        <v>39380</v>
      </c>
      <c r="M7" s="890"/>
      <c r="N7" s="887"/>
      <c r="O7" s="368"/>
      <c r="P7" s="587">
        <f t="shared" si="3"/>
        <v>1.25</v>
      </c>
      <c r="Q7" s="955">
        <v>5</v>
      </c>
      <c r="R7" s="69">
        <v>0.25</v>
      </c>
    </row>
    <row r="8" spans="1:19" x14ac:dyDescent="0.2">
      <c r="A8" s="377" t="s">
        <v>790</v>
      </c>
      <c r="B8" s="378">
        <v>15</v>
      </c>
      <c r="C8" s="462">
        <f>M9+I8+H8</f>
        <v>32.333199999999998</v>
      </c>
      <c r="D8" s="378">
        <v>26</v>
      </c>
      <c r="E8" s="462">
        <f t="shared" ref="E8:E13" si="8">106*C8*D8</f>
        <v>89110.299199999994</v>
      </c>
      <c r="F8" s="462">
        <f t="shared" ref="F8:F13" si="9">9*C8*D8</f>
        <v>7565.9687999999987</v>
      </c>
      <c r="G8" s="462">
        <f t="shared" ref="G8:G13" si="10">E8+F8</f>
        <v>96676.267999999996</v>
      </c>
      <c r="H8" s="628">
        <f>0.22+0.3+0.44+0.88+0.44+0.22</f>
        <v>2.5</v>
      </c>
      <c r="I8" s="628">
        <f>P17</f>
        <v>3.75</v>
      </c>
      <c r="J8" s="378">
        <v>300</v>
      </c>
      <c r="K8" s="880">
        <f>G8+J8</f>
        <v>96976.267999999996</v>
      </c>
      <c r="L8" s="888">
        <v>38628</v>
      </c>
      <c r="M8" s="90"/>
      <c r="N8" s="368"/>
      <c r="O8" s="368"/>
      <c r="P8" s="587">
        <f t="shared" si="3"/>
        <v>1.5</v>
      </c>
      <c r="Q8" s="955">
        <v>6</v>
      </c>
      <c r="R8" s="69">
        <v>0.25</v>
      </c>
    </row>
    <row r="9" spans="1:19" x14ac:dyDescent="0.2">
      <c r="A9" s="373" t="s">
        <v>791</v>
      </c>
      <c r="B9" s="375">
        <v>14</v>
      </c>
      <c r="C9" s="460">
        <f>M9+I9+H9</f>
        <v>32.333199999999998</v>
      </c>
      <c r="D9" s="375">
        <v>26</v>
      </c>
      <c r="E9" s="460">
        <f t="shared" si="8"/>
        <v>89110.299199999994</v>
      </c>
      <c r="F9" s="460">
        <f t="shared" si="9"/>
        <v>7565.9687999999987</v>
      </c>
      <c r="G9" s="460">
        <f t="shared" si="10"/>
        <v>96676.267999999996</v>
      </c>
      <c r="H9" s="542">
        <f>0.22+0.66+0.44+0.88+0.33+0.22</f>
        <v>2.7500000000000004</v>
      </c>
      <c r="I9" s="542">
        <f>P16</f>
        <v>3.5</v>
      </c>
      <c r="J9" s="375">
        <v>300</v>
      </c>
      <c r="K9" s="418">
        <f>G9+J9</f>
        <v>96976.267999999996</v>
      </c>
      <c r="L9" s="573">
        <v>39033</v>
      </c>
      <c r="M9" s="511">
        <f>(25.08)*1.04</f>
        <v>26.083199999999998</v>
      </c>
      <c r="N9" s="368"/>
      <c r="O9" s="368"/>
      <c r="P9" s="587">
        <f t="shared" si="3"/>
        <v>1.75</v>
      </c>
      <c r="Q9" s="955">
        <v>7</v>
      </c>
      <c r="R9" s="69">
        <v>0.25</v>
      </c>
    </row>
    <row r="10" spans="1:19" x14ac:dyDescent="0.2">
      <c r="A10" s="376" t="s">
        <v>792</v>
      </c>
      <c r="B10" s="416">
        <v>12</v>
      </c>
      <c r="C10" s="461">
        <f>M9+I10+H10</f>
        <v>31.5032</v>
      </c>
      <c r="D10" s="416">
        <v>26</v>
      </c>
      <c r="E10" s="461">
        <f t="shared" si="8"/>
        <v>86822.819199999998</v>
      </c>
      <c r="F10" s="461">
        <f t="shared" si="9"/>
        <v>7371.7487999999994</v>
      </c>
      <c r="G10" s="461">
        <f t="shared" si="10"/>
        <v>94194.567999999999</v>
      </c>
      <c r="H10" s="627">
        <f>0.22+0.66+0.88+0.33+0.33</f>
        <v>2.42</v>
      </c>
      <c r="I10" s="627">
        <f>P14</f>
        <v>3</v>
      </c>
      <c r="J10" s="416">
        <v>300</v>
      </c>
      <c r="K10" s="884">
        <f t="shared" ref="K10" si="11">G10+J10</f>
        <v>94494.567999999999</v>
      </c>
      <c r="L10" s="885">
        <v>39987</v>
      </c>
      <c r="M10" s="890"/>
      <c r="N10" s="887"/>
      <c r="O10" s="368"/>
      <c r="P10" s="587">
        <f t="shared" ref="P10" si="12">P9+R10</f>
        <v>2</v>
      </c>
      <c r="Q10" s="955">
        <v>8</v>
      </c>
      <c r="R10" s="69">
        <v>0.25</v>
      </c>
    </row>
    <row r="11" spans="1:19" x14ac:dyDescent="0.2">
      <c r="A11" s="377" t="s">
        <v>793</v>
      </c>
      <c r="B11" s="378">
        <v>14</v>
      </c>
      <c r="C11" s="462">
        <f>M13+I11+H11</f>
        <v>26.665599999999998</v>
      </c>
      <c r="D11" s="378">
        <v>26</v>
      </c>
      <c r="E11" s="462">
        <f t="shared" si="8"/>
        <v>73490.393599999996</v>
      </c>
      <c r="F11" s="462">
        <f t="shared" si="9"/>
        <v>6239.750399999999</v>
      </c>
      <c r="G11" s="462">
        <f t="shared" si="10"/>
        <v>79730.144</v>
      </c>
      <c r="H11" s="628">
        <f>0.48+0.22+0.22</f>
        <v>0.91999999999999993</v>
      </c>
      <c r="I11" s="628">
        <f>P16</f>
        <v>3.5</v>
      </c>
      <c r="J11" s="378">
        <v>300</v>
      </c>
      <c r="K11" s="880">
        <f>G11+J11</f>
        <v>80030.144</v>
      </c>
      <c r="L11" s="888">
        <v>39033</v>
      </c>
      <c r="M11" s="90"/>
      <c r="N11" s="368"/>
      <c r="O11" s="368"/>
      <c r="P11" s="587">
        <f t="shared" ref="P11:P22" si="13">P10+R11</f>
        <v>2.25</v>
      </c>
      <c r="Q11" s="955">
        <v>9</v>
      </c>
      <c r="R11" s="69">
        <v>0.25</v>
      </c>
    </row>
    <row r="12" spans="1:19" x14ac:dyDescent="0.2">
      <c r="A12" s="373" t="s">
        <v>807</v>
      </c>
      <c r="B12" s="375">
        <v>14</v>
      </c>
      <c r="C12" s="460">
        <f>M13+I12+H12</f>
        <v>27.0656</v>
      </c>
      <c r="D12" s="375">
        <v>26</v>
      </c>
      <c r="E12" s="460">
        <f>106*C12*D12</f>
        <v>74592.79359999999</v>
      </c>
      <c r="F12" s="460">
        <f>9*C12*D12</f>
        <v>6333.3503999999994</v>
      </c>
      <c r="G12" s="460">
        <f>E12+F12</f>
        <v>80926.143999999986</v>
      </c>
      <c r="H12" s="542">
        <f>0.22+0.88+0.22</f>
        <v>1.32</v>
      </c>
      <c r="I12" s="542">
        <f>P16</f>
        <v>3.5</v>
      </c>
      <c r="J12" s="375">
        <v>300</v>
      </c>
      <c r="K12" s="418">
        <f>G12+J12</f>
        <v>81226.143999999986</v>
      </c>
      <c r="L12" s="573">
        <v>38942</v>
      </c>
      <c r="M12" s="511"/>
      <c r="N12" s="368"/>
      <c r="O12" s="368"/>
      <c r="P12" s="587">
        <f t="shared" si="13"/>
        <v>2.5</v>
      </c>
      <c r="Q12" s="955">
        <v>10</v>
      </c>
      <c r="R12" s="69">
        <v>0.25</v>
      </c>
    </row>
    <row r="13" spans="1:19" x14ac:dyDescent="0.2">
      <c r="A13" s="377" t="s">
        <v>794</v>
      </c>
      <c r="B13" s="378">
        <v>13</v>
      </c>
      <c r="C13" s="462">
        <f>M13+I13+H13</f>
        <v>27.8856</v>
      </c>
      <c r="D13" s="378">
        <v>26</v>
      </c>
      <c r="E13" s="462">
        <f t="shared" si="8"/>
        <v>76852.713600000003</v>
      </c>
      <c r="F13" s="462">
        <f t="shared" si="9"/>
        <v>6525.2304000000004</v>
      </c>
      <c r="G13" s="462">
        <f t="shared" si="10"/>
        <v>83377.944000000003</v>
      </c>
      <c r="H13" s="628">
        <f>0.22+0.3+0.44+0.88+0.33+0.22</f>
        <v>2.39</v>
      </c>
      <c r="I13" s="628">
        <f>P15</f>
        <v>3.25</v>
      </c>
      <c r="J13" s="378">
        <v>300</v>
      </c>
      <c r="K13" s="880">
        <f>G13+J13</f>
        <v>83677.944000000003</v>
      </c>
      <c r="L13" s="888">
        <v>39987</v>
      </c>
      <c r="M13" s="511">
        <f>(21.39)*1.04</f>
        <v>22.2456</v>
      </c>
      <c r="N13" s="368"/>
      <c r="O13" s="368"/>
      <c r="P13" s="587">
        <f t="shared" si="13"/>
        <v>2.75</v>
      </c>
      <c r="Q13" s="955">
        <v>11</v>
      </c>
      <c r="R13" s="69">
        <v>0.25</v>
      </c>
    </row>
    <row r="14" spans="1:19" x14ac:dyDescent="0.2">
      <c r="A14" s="377" t="s">
        <v>808</v>
      </c>
      <c r="B14" s="378">
        <v>12</v>
      </c>
      <c r="C14" s="462">
        <f>M13+I14+H14</f>
        <v>27.595600000000001</v>
      </c>
      <c r="D14" s="378">
        <v>26</v>
      </c>
      <c r="E14" s="462">
        <f t="shared" ref="E14" si="14">106*C14*D14</f>
        <v>76053.473599999998</v>
      </c>
      <c r="F14" s="462">
        <f t="shared" ref="F14" si="15">9*C14*D14</f>
        <v>6457.3703999999998</v>
      </c>
      <c r="G14" s="462">
        <f t="shared" ref="G14" si="16">E14+F14</f>
        <v>82510.843999999997</v>
      </c>
      <c r="H14" s="628">
        <f>0.22+0.48+0.22+0.88+0.33+0.22</f>
        <v>2.35</v>
      </c>
      <c r="I14" s="628">
        <f>P14</f>
        <v>3</v>
      </c>
      <c r="J14" s="378">
        <v>300</v>
      </c>
      <c r="K14" s="880">
        <f t="shared" ref="K14" si="17">G14+J14</f>
        <v>82810.843999999997</v>
      </c>
      <c r="L14" s="888">
        <v>39377</v>
      </c>
      <c r="M14" s="90"/>
      <c r="N14" s="368"/>
      <c r="O14" s="368"/>
      <c r="P14" s="587">
        <f t="shared" si="13"/>
        <v>3</v>
      </c>
      <c r="Q14" s="955">
        <v>12</v>
      </c>
      <c r="R14" s="69">
        <v>0.25</v>
      </c>
    </row>
    <row r="15" spans="1:19" x14ac:dyDescent="0.2">
      <c r="A15" s="373" t="s">
        <v>795</v>
      </c>
      <c r="B15" s="375">
        <v>11</v>
      </c>
      <c r="C15" s="460">
        <f>M13+I15+H15</f>
        <v>27.255600000000001</v>
      </c>
      <c r="D15" s="375">
        <v>26</v>
      </c>
      <c r="E15" s="460">
        <f t="shared" ref="E15:E18" si="18">106*C15*D15</f>
        <v>75116.433600000004</v>
      </c>
      <c r="F15" s="460">
        <f t="shared" ref="F15:F18" si="19">9*C15*D15</f>
        <v>6377.8104000000003</v>
      </c>
      <c r="G15" s="460">
        <f t="shared" ref="G15:G18" si="20">E15+F15</f>
        <v>81494.244000000006</v>
      </c>
      <c r="H15" s="542">
        <f>0.22+0.39+0.22+0.88+0.33+0.22</f>
        <v>2.2600000000000002</v>
      </c>
      <c r="I15" s="542">
        <f>P13</f>
        <v>2.75</v>
      </c>
      <c r="J15" s="375">
        <v>300</v>
      </c>
      <c r="K15" s="418">
        <f t="shared" ref="K15:K17" si="21">G15+J15</f>
        <v>81794.244000000006</v>
      </c>
      <c r="L15" s="573">
        <v>40419</v>
      </c>
      <c r="M15" s="511"/>
      <c r="N15" s="368"/>
      <c r="O15" s="368"/>
      <c r="P15" s="587">
        <f t="shared" si="13"/>
        <v>3.25</v>
      </c>
      <c r="Q15" s="955">
        <v>13</v>
      </c>
      <c r="R15" s="69">
        <v>0.25</v>
      </c>
      <c r="S15" s="368"/>
    </row>
    <row r="16" spans="1:19" x14ac:dyDescent="0.2">
      <c r="A16" s="373" t="s">
        <v>827</v>
      </c>
      <c r="B16" s="375">
        <v>8</v>
      </c>
      <c r="C16" s="460">
        <f>M13+I16+H16</f>
        <v>25.345600000000001</v>
      </c>
      <c r="D16" s="375">
        <v>26</v>
      </c>
      <c r="E16" s="460">
        <f t="shared" ref="E16" si="22">106*C16*D16</f>
        <v>69852.473599999998</v>
      </c>
      <c r="F16" s="460">
        <f t="shared" ref="F16" si="23">9*C16*D16</f>
        <v>5930.8703999999998</v>
      </c>
      <c r="G16" s="460">
        <f t="shared" ref="G16" si="24">E16+F16</f>
        <v>75783.343999999997</v>
      </c>
      <c r="H16" s="542">
        <f>0.66+0.22+0.22</f>
        <v>1.1000000000000001</v>
      </c>
      <c r="I16" s="542">
        <f>P10</f>
        <v>2</v>
      </c>
      <c r="J16" s="375">
        <v>300</v>
      </c>
      <c r="K16" s="418">
        <f>G16+J16</f>
        <v>76083.343999999997</v>
      </c>
      <c r="L16" s="573">
        <v>41365</v>
      </c>
      <c r="M16" s="889"/>
      <c r="N16" s="889"/>
      <c r="O16" s="368"/>
      <c r="P16" s="587">
        <f t="shared" si="13"/>
        <v>3.5</v>
      </c>
      <c r="Q16" s="955">
        <v>14</v>
      </c>
      <c r="R16" s="69">
        <v>0.25</v>
      </c>
    </row>
    <row r="17" spans="1:18" x14ac:dyDescent="0.2">
      <c r="A17" s="909" t="s">
        <v>796</v>
      </c>
      <c r="B17" s="372">
        <v>17</v>
      </c>
      <c r="C17" s="910">
        <f>M18+I17+H17</f>
        <v>24.63</v>
      </c>
      <c r="D17" s="372">
        <v>26</v>
      </c>
      <c r="E17" s="910">
        <f t="shared" si="18"/>
        <v>67880.28</v>
      </c>
      <c r="F17" s="910">
        <f t="shared" si="19"/>
        <v>5763.42</v>
      </c>
      <c r="G17" s="910">
        <f t="shared" si="20"/>
        <v>73643.7</v>
      </c>
      <c r="H17" s="911">
        <f>0.22+0.22+0.22+0.22</f>
        <v>0.88</v>
      </c>
      <c r="I17" s="911">
        <f>P19</f>
        <v>4.25</v>
      </c>
      <c r="J17" s="372">
        <v>300</v>
      </c>
      <c r="K17" s="912">
        <f t="shared" si="21"/>
        <v>73943.7</v>
      </c>
      <c r="L17" s="913">
        <v>38249</v>
      </c>
      <c r="M17" s="511"/>
      <c r="N17" s="368"/>
      <c r="O17" s="368"/>
      <c r="P17" s="587">
        <f t="shared" si="13"/>
        <v>3.75</v>
      </c>
      <c r="Q17" s="955">
        <v>15</v>
      </c>
      <c r="R17" s="69">
        <v>0.25</v>
      </c>
    </row>
    <row r="18" spans="1:18" x14ac:dyDescent="0.2">
      <c r="A18" s="373" t="s">
        <v>820</v>
      </c>
      <c r="B18" s="375">
        <v>13</v>
      </c>
      <c r="C18" s="460">
        <f>M18+I18+H18</f>
        <v>24.48</v>
      </c>
      <c r="D18" s="375">
        <v>26</v>
      </c>
      <c r="E18" s="460">
        <f t="shared" si="18"/>
        <v>67466.880000000005</v>
      </c>
      <c r="F18" s="460">
        <f t="shared" si="19"/>
        <v>5728.32</v>
      </c>
      <c r="G18" s="460">
        <f t="shared" si="20"/>
        <v>73195.200000000012</v>
      </c>
      <c r="H18" s="542">
        <f>0.3+0.88+0.33+0.22</f>
        <v>1.73</v>
      </c>
      <c r="I18" s="542">
        <f>P15</f>
        <v>3.25</v>
      </c>
      <c r="J18" s="375">
        <v>300</v>
      </c>
      <c r="K18" s="418">
        <f>G18+J18</f>
        <v>73495.200000000012</v>
      </c>
      <c r="L18" s="573">
        <v>39649</v>
      </c>
      <c r="M18" s="510">
        <f>(17.43+1.32)*1.04</f>
        <v>19.5</v>
      </c>
      <c r="N18" s="22" t="s">
        <v>291</v>
      </c>
      <c r="P18" s="587">
        <f t="shared" si="13"/>
        <v>4</v>
      </c>
      <c r="Q18" s="955">
        <v>16</v>
      </c>
      <c r="R18" s="69">
        <v>0.25</v>
      </c>
    </row>
    <row r="19" spans="1:18" x14ac:dyDescent="0.2">
      <c r="A19" s="377" t="s">
        <v>809</v>
      </c>
      <c r="B19" s="378">
        <v>11</v>
      </c>
      <c r="C19" s="462">
        <f>M18+I19+H19</f>
        <v>24.05</v>
      </c>
      <c r="D19" s="378">
        <v>26</v>
      </c>
      <c r="E19" s="462">
        <f>106*C19*D19</f>
        <v>66281.8</v>
      </c>
      <c r="F19" s="462">
        <f>9*C19*D19</f>
        <v>5627.7000000000007</v>
      </c>
      <c r="G19" s="462">
        <f>E19+F19</f>
        <v>71909.5</v>
      </c>
      <c r="H19" s="628">
        <f>0.48+0.88+0.22+0.22</f>
        <v>1.7999999999999998</v>
      </c>
      <c r="I19" s="628">
        <f>P13</f>
        <v>2.75</v>
      </c>
      <c r="J19" s="378">
        <v>300</v>
      </c>
      <c r="K19" s="880">
        <f t="shared" ref="K19:K24" si="25">G19+J19</f>
        <v>72209.5</v>
      </c>
      <c r="L19" s="888">
        <v>40078</v>
      </c>
      <c r="M19" s="90"/>
      <c r="P19" s="587">
        <f t="shared" si="13"/>
        <v>4.25</v>
      </c>
      <c r="Q19" s="955">
        <v>17</v>
      </c>
      <c r="R19" s="69">
        <v>0.25</v>
      </c>
    </row>
    <row r="20" spans="1:18" x14ac:dyDescent="0.2">
      <c r="A20" s="373" t="s">
        <v>797</v>
      </c>
      <c r="B20" s="375">
        <v>6</v>
      </c>
      <c r="C20" s="460">
        <f>M18+I20+H20</f>
        <v>21.52</v>
      </c>
      <c r="D20" s="375">
        <v>26</v>
      </c>
      <c r="E20" s="460">
        <f t="shared" ref="E20:E21" si="26">106*C20*D20</f>
        <v>59309.119999999995</v>
      </c>
      <c r="F20" s="460">
        <f t="shared" ref="F20:F21" si="27">9*C20*D20</f>
        <v>5035.68</v>
      </c>
      <c r="G20" s="460">
        <f t="shared" ref="G20:G23" si="28">E20+F20</f>
        <v>64344.799999999996</v>
      </c>
      <c r="H20" s="542">
        <f>0.3+0.22</f>
        <v>0.52</v>
      </c>
      <c r="I20" s="542">
        <f>P8</f>
        <v>1.5</v>
      </c>
      <c r="J20" s="375">
        <v>300</v>
      </c>
      <c r="K20" s="418">
        <f t="shared" si="25"/>
        <v>64644.799999999996</v>
      </c>
      <c r="L20" s="573">
        <v>42122</v>
      </c>
      <c r="M20" s="510">
        <f>(16.88+1.32)*1.04</f>
        <v>18.928000000000001</v>
      </c>
      <c r="N20" s="22" t="s">
        <v>292</v>
      </c>
      <c r="P20" s="587">
        <f t="shared" si="13"/>
        <v>4.5</v>
      </c>
      <c r="Q20" s="955">
        <v>18</v>
      </c>
      <c r="R20" s="69">
        <v>0.25</v>
      </c>
    </row>
    <row r="21" spans="1:18" x14ac:dyDescent="0.2">
      <c r="A21" s="373" t="s">
        <v>825</v>
      </c>
      <c r="B21" s="375">
        <v>5</v>
      </c>
      <c r="C21" s="460">
        <f>M18+I21+H21</f>
        <v>22.29</v>
      </c>
      <c r="D21" s="375">
        <v>26</v>
      </c>
      <c r="E21" s="460">
        <f t="shared" si="26"/>
        <v>61431.239999999991</v>
      </c>
      <c r="F21" s="460">
        <f t="shared" si="27"/>
        <v>5215.8599999999997</v>
      </c>
      <c r="G21" s="460">
        <f t="shared" si="28"/>
        <v>66647.099999999991</v>
      </c>
      <c r="H21" s="542">
        <f>0.22+0.44+0.88</f>
        <v>1.54</v>
      </c>
      <c r="I21" s="542">
        <f>P7</f>
        <v>1.25</v>
      </c>
      <c r="J21" s="375">
        <v>300</v>
      </c>
      <c r="K21" s="418">
        <f t="shared" si="25"/>
        <v>66947.099999999991</v>
      </c>
      <c r="L21" s="573">
        <v>42421</v>
      </c>
      <c r="M21" s="511"/>
      <c r="N21" s="90"/>
      <c r="P21" s="587">
        <f t="shared" si="13"/>
        <v>4.75</v>
      </c>
      <c r="Q21" s="955">
        <v>19</v>
      </c>
      <c r="R21" s="69">
        <v>0.25</v>
      </c>
    </row>
    <row r="22" spans="1:18" x14ac:dyDescent="0.2">
      <c r="A22" s="373" t="s">
        <v>798</v>
      </c>
      <c r="B22" s="375">
        <v>5</v>
      </c>
      <c r="C22" s="460">
        <f>M18+I22+H22</f>
        <v>21.67</v>
      </c>
      <c r="D22" s="375">
        <v>26</v>
      </c>
      <c r="E22" s="460">
        <f>106*C22*D22</f>
        <v>59722.52</v>
      </c>
      <c r="F22" s="460">
        <f>9*C22*D22</f>
        <v>5070.7800000000007</v>
      </c>
      <c r="G22" s="460">
        <f t="shared" si="28"/>
        <v>64793.299999999996</v>
      </c>
      <c r="H22" s="542">
        <f>0.48+0.44</f>
        <v>0.91999999999999993</v>
      </c>
      <c r="I22" s="542">
        <f>P7</f>
        <v>1.25</v>
      </c>
      <c r="J22" s="375">
        <v>300</v>
      </c>
      <c r="K22" s="418">
        <f t="shared" si="25"/>
        <v>65093.299999999996</v>
      </c>
      <c r="L22" s="573">
        <v>42429</v>
      </c>
      <c r="M22" s="511"/>
      <c r="N22" s="90"/>
      <c r="P22" s="587">
        <f t="shared" si="13"/>
        <v>5</v>
      </c>
      <c r="Q22" s="955">
        <v>20</v>
      </c>
      <c r="R22" s="69">
        <v>0.25</v>
      </c>
    </row>
    <row r="23" spans="1:18" x14ac:dyDescent="0.2">
      <c r="A23" s="373" t="s">
        <v>821</v>
      </c>
      <c r="B23" s="375">
        <v>5</v>
      </c>
      <c r="C23" s="460">
        <f>M18+I23+H23</f>
        <v>21.05</v>
      </c>
      <c r="D23" s="375">
        <v>26</v>
      </c>
      <c r="E23" s="460">
        <f>106*C23*D23</f>
        <v>58013.8</v>
      </c>
      <c r="F23" s="460">
        <f>9*C23*D23</f>
        <v>4925.7000000000007</v>
      </c>
      <c r="G23" s="460">
        <f t="shared" si="28"/>
        <v>62939.5</v>
      </c>
      <c r="H23" s="542">
        <f>0.3</f>
        <v>0.3</v>
      </c>
      <c r="I23" s="542">
        <f>P7</f>
        <v>1.25</v>
      </c>
      <c r="J23" s="375">
        <v>300</v>
      </c>
      <c r="K23" s="418">
        <f t="shared" si="25"/>
        <v>63239.5</v>
      </c>
      <c r="L23" s="573">
        <v>42429</v>
      </c>
      <c r="M23" s="511"/>
      <c r="N23" s="90"/>
      <c r="P23" s="587">
        <v>5</v>
      </c>
      <c r="Q23" s="955">
        <v>21</v>
      </c>
      <c r="R23" s="69">
        <v>0.25</v>
      </c>
    </row>
    <row r="24" spans="1:18" x14ac:dyDescent="0.2">
      <c r="A24" s="373" t="s">
        <v>799</v>
      </c>
      <c r="B24" s="375">
        <v>5</v>
      </c>
      <c r="C24" s="460">
        <f>M18+I24+H24</f>
        <v>20.97</v>
      </c>
      <c r="D24" s="375">
        <v>26</v>
      </c>
      <c r="E24" s="460">
        <f>106*C24*D24</f>
        <v>57793.319999999992</v>
      </c>
      <c r="F24" s="460">
        <f>9*C24*D24</f>
        <v>4906.9799999999996</v>
      </c>
      <c r="G24" s="460">
        <f>E24+F24</f>
        <v>62700.299999999988</v>
      </c>
      <c r="H24" s="542">
        <f>0.22</f>
        <v>0.22</v>
      </c>
      <c r="I24" s="542">
        <f>P7</f>
        <v>1.25</v>
      </c>
      <c r="J24" s="375">
        <v>300</v>
      </c>
      <c r="K24" s="418">
        <f t="shared" si="25"/>
        <v>63000.299999999988</v>
      </c>
      <c r="L24" s="573">
        <v>42604</v>
      </c>
      <c r="M24" s="511"/>
      <c r="N24" s="90"/>
      <c r="P24" s="587">
        <v>5</v>
      </c>
      <c r="Q24" s="955">
        <v>22</v>
      </c>
      <c r="R24" s="69">
        <v>0.25</v>
      </c>
    </row>
    <row r="25" spans="1:18" x14ac:dyDescent="0.2">
      <c r="A25" s="373" t="s">
        <v>826</v>
      </c>
      <c r="B25" s="375">
        <v>4</v>
      </c>
      <c r="C25" s="460">
        <f>M18+I25+H25</f>
        <v>20.89</v>
      </c>
      <c r="D25" s="375">
        <v>26</v>
      </c>
      <c r="E25" s="460">
        <f t="shared" ref="E25:E31" si="29">106*C25*D25</f>
        <v>57572.840000000004</v>
      </c>
      <c r="F25" s="460">
        <f t="shared" ref="F25:F31" si="30">9*C25*D25</f>
        <v>4888.26</v>
      </c>
      <c r="G25" s="460">
        <f t="shared" ref="G25:G31" si="31">E25+F25</f>
        <v>62461.100000000006</v>
      </c>
      <c r="H25" s="542">
        <f>0.39</f>
        <v>0.39</v>
      </c>
      <c r="I25" s="542">
        <f>P6</f>
        <v>1</v>
      </c>
      <c r="J25" s="375">
        <v>300</v>
      </c>
      <c r="K25" s="418">
        <f t="shared" ref="K25:K31" si="32">G25+J25</f>
        <v>62761.100000000006</v>
      </c>
      <c r="L25" s="573">
        <v>42632</v>
      </c>
      <c r="M25" s="511"/>
      <c r="N25" s="90"/>
      <c r="P25" s="587">
        <v>5</v>
      </c>
      <c r="Q25" s="955">
        <v>23</v>
      </c>
      <c r="R25" s="69">
        <v>0.25</v>
      </c>
    </row>
    <row r="26" spans="1:18" x14ac:dyDescent="0.2">
      <c r="A26" s="373" t="s">
        <v>800</v>
      </c>
      <c r="B26" s="375">
        <v>4</v>
      </c>
      <c r="C26" s="460">
        <f>M18+I26+H26</f>
        <v>20.72</v>
      </c>
      <c r="D26" s="375">
        <v>26</v>
      </c>
      <c r="E26" s="460">
        <f t="shared" si="29"/>
        <v>57104.319999999992</v>
      </c>
      <c r="F26" s="460">
        <f t="shared" si="30"/>
        <v>4848.4799999999996</v>
      </c>
      <c r="G26" s="460">
        <f t="shared" si="31"/>
        <v>61952.799999999988</v>
      </c>
      <c r="H26" s="542">
        <f>0.22</f>
        <v>0.22</v>
      </c>
      <c r="I26" s="542">
        <f>P6</f>
        <v>1</v>
      </c>
      <c r="J26" s="375">
        <v>300</v>
      </c>
      <c r="K26" s="418">
        <f t="shared" si="32"/>
        <v>62252.799999999988</v>
      </c>
      <c r="L26" s="573">
        <v>42758</v>
      </c>
      <c r="M26" s="511"/>
      <c r="N26" s="90"/>
      <c r="P26" s="587">
        <v>5</v>
      </c>
      <c r="Q26" s="955">
        <v>24</v>
      </c>
      <c r="R26" s="69">
        <v>0.25</v>
      </c>
    </row>
    <row r="27" spans="1:18" x14ac:dyDescent="0.2">
      <c r="A27" s="373" t="s">
        <v>823</v>
      </c>
      <c r="B27" s="375">
        <v>4</v>
      </c>
      <c r="C27" s="460">
        <f>M18+I27+H27</f>
        <v>21.55</v>
      </c>
      <c r="D27" s="375">
        <v>26</v>
      </c>
      <c r="E27" s="460">
        <f t="shared" si="29"/>
        <v>59391.8</v>
      </c>
      <c r="F27" s="460">
        <f t="shared" si="30"/>
        <v>5042.7000000000007</v>
      </c>
      <c r="G27" s="460">
        <f t="shared" si="31"/>
        <v>64434.5</v>
      </c>
      <c r="H27" s="542">
        <f>0.39+0.33+0.33</f>
        <v>1.05</v>
      </c>
      <c r="I27" s="542">
        <f>P6</f>
        <v>1</v>
      </c>
      <c r="J27" s="375">
        <v>300</v>
      </c>
      <c r="K27" s="418">
        <f t="shared" si="32"/>
        <v>64734.5</v>
      </c>
      <c r="L27" s="573">
        <v>42807</v>
      </c>
      <c r="M27" s="511"/>
      <c r="N27" s="90"/>
      <c r="P27" s="587">
        <v>5</v>
      </c>
      <c r="Q27" s="955">
        <v>25</v>
      </c>
      <c r="R27" s="69">
        <v>0.25</v>
      </c>
    </row>
    <row r="28" spans="1:18" x14ac:dyDescent="0.2">
      <c r="A28" s="373" t="s">
        <v>801</v>
      </c>
      <c r="B28" s="375">
        <v>4</v>
      </c>
      <c r="C28" s="460">
        <f>M18+I28+H28</f>
        <v>21.77</v>
      </c>
      <c r="D28" s="375">
        <v>26</v>
      </c>
      <c r="E28" s="460">
        <f t="shared" si="29"/>
        <v>59998.119999999995</v>
      </c>
      <c r="F28" s="460">
        <f t="shared" si="30"/>
        <v>5094.18</v>
      </c>
      <c r="G28" s="460">
        <f t="shared" si="31"/>
        <v>65092.299999999996</v>
      </c>
      <c r="H28" s="542">
        <f>0.39+0.88</f>
        <v>1.27</v>
      </c>
      <c r="I28" s="542">
        <f>P6</f>
        <v>1</v>
      </c>
      <c r="J28" s="375">
        <v>300</v>
      </c>
      <c r="K28" s="418">
        <f t="shared" si="32"/>
        <v>65392.299999999996</v>
      </c>
      <c r="L28" s="573">
        <v>42807</v>
      </c>
      <c r="M28" s="511"/>
      <c r="N28" s="90"/>
      <c r="P28" s="587">
        <v>5</v>
      </c>
      <c r="Q28" s="955">
        <v>26</v>
      </c>
      <c r="R28" s="69">
        <v>0.25</v>
      </c>
    </row>
    <row r="29" spans="1:18" x14ac:dyDescent="0.2">
      <c r="A29" s="373" t="s">
        <v>802</v>
      </c>
      <c r="B29" s="375">
        <v>6</v>
      </c>
      <c r="C29" s="460">
        <f>M18+I29+H29</f>
        <v>21.39</v>
      </c>
      <c r="D29" s="375">
        <v>26</v>
      </c>
      <c r="E29" s="460">
        <f t="shared" si="29"/>
        <v>58950.840000000004</v>
      </c>
      <c r="F29" s="460">
        <f t="shared" ref="F29" si="33">9*C29*D29</f>
        <v>5005.26</v>
      </c>
      <c r="G29" s="460">
        <f t="shared" ref="G29" si="34">E29+F29</f>
        <v>63956.100000000006</v>
      </c>
      <c r="H29" s="542">
        <f>0.39</f>
        <v>0.39</v>
      </c>
      <c r="I29" s="542">
        <f>P8</f>
        <v>1.5</v>
      </c>
      <c r="J29" s="375">
        <v>300</v>
      </c>
      <c r="K29" s="418">
        <f t="shared" ref="K29" si="35">G29+J29</f>
        <v>64256.100000000006</v>
      </c>
      <c r="L29" s="573">
        <v>42895</v>
      </c>
      <c r="M29" s="511"/>
      <c r="N29" s="90"/>
      <c r="P29" s="587">
        <v>5</v>
      </c>
      <c r="Q29" s="955">
        <v>27</v>
      </c>
      <c r="R29" s="69">
        <v>0.25</v>
      </c>
    </row>
    <row r="30" spans="1:18" x14ac:dyDescent="0.2">
      <c r="A30" s="928" t="s">
        <v>803</v>
      </c>
      <c r="B30" s="417">
        <v>3</v>
      </c>
      <c r="C30" s="929">
        <f>M18+I30+H30</f>
        <v>20.95</v>
      </c>
      <c r="D30" s="417">
        <v>26</v>
      </c>
      <c r="E30" s="929">
        <f t="shared" si="29"/>
        <v>57738.2</v>
      </c>
      <c r="F30" s="929">
        <f t="shared" si="30"/>
        <v>4902.2999999999993</v>
      </c>
      <c r="G30" s="929">
        <f t="shared" si="31"/>
        <v>62640.5</v>
      </c>
      <c r="H30" s="622">
        <f>0.22+0.48</f>
        <v>0.7</v>
      </c>
      <c r="I30" s="622">
        <f>P5</f>
        <v>0.75</v>
      </c>
      <c r="J30" s="417">
        <v>300</v>
      </c>
      <c r="K30" s="930">
        <f t="shared" si="32"/>
        <v>62940.5</v>
      </c>
      <c r="L30" s="931">
        <v>43030</v>
      </c>
      <c r="M30" s="511"/>
      <c r="N30" s="90"/>
      <c r="P30" s="587">
        <v>5</v>
      </c>
      <c r="Q30" s="955">
        <v>28</v>
      </c>
      <c r="R30" s="69">
        <v>0.25</v>
      </c>
    </row>
    <row r="31" spans="1:18" x14ac:dyDescent="0.2">
      <c r="A31" s="33" t="s">
        <v>822</v>
      </c>
      <c r="B31" s="69">
        <v>3</v>
      </c>
      <c r="C31" s="460">
        <f>M18+I31+H31</f>
        <v>20.25</v>
      </c>
      <c r="D31" s="69">
        <v>26</v>
      </c>
      <c r="E31" s="460">
        <f t="shared" si="29"/>
        <v>55809</v>
      </c>
      <c r="F31" s="460">
        <f t="shared" si="30"/>
        <v>4738.5</v>
      </c>
      <c r="G31" s="929">
        <f t="shared" si="31"/>
        <v>60547.5</v>
      </c>
      <c r="H31" s="542">
        <v>0</v>
      </c>
      <c r="I31" s="542">
        <f>P5</f>
        <v>0.75</v>
      </c>
      <c r="J31" s="69">
        <v>300</v>
      </c>
      <c r="K31" s="418">
        <f t="shared" si="32"/>
        <v>60847.5</v>
      </c>
      <c r="L31" s="932">
        <v>43066</v>
      </c>
      <c r="M31" s="511"/>
      <c r="N31" s="90"/>
      <c r="P31" s="587">
        <v>5</v>
      </c>
      <c r="Q31" s="955">
        <v>29</v>
      </c>
      <c r="R31" s="69">
        <v>0.25</v>
      </c>
    </row>
    <row r="32" spans="1:18" x14ac:dyDescent="0.2">
      <c r="A32" s="520"/>
      <c r="B32" s="915"/>
      <c r="C32" s="915"/>
      <c r="D32" s="915"/>
      <c r="E32" s="915"/>
      <c r="F32" s="915"/>
      <c r="G32" s="915"/>
      <c r="H32" s="416"/>
      <c r="I32" s="915"/>
      <c r="J32" s="915"/>
      <c r="K32" s="933"/>
      <c r="L32" s="520"/>
      <c r="M32" s="886"/>
      <c r="N32" s="887"/>
      <c r="P32" s="587">
        <v>5</v>
      </c>
      <c r="Q32" s="955">
        <v>30</v>
      </c>
      <c r="R32" s="69">
        <v>0.25</v>
      </c>
    </row>
    <row r="33" spans="1:18" ht="13.5" x14ac:dyDescent="0.25">
      <c r="A33" s="377" t="s">
        <v>49</v>
      </c>
      <c r="B33" s="882">
        <f>AVERAGE(B2:B31)</f>
        <v>10.733333333333333</v>
      </c>
      <c r="C33" s="883">
        <f>AVERAGE(C2:C31)</f>
        <v>26.719639999999995</v>
      </c>
      <c r="D33" s="378"/>
      <c r="E33" s="883">
        <f>SUM(E2:E31)</f>
        <v>2209179.8352000001</v>
      </c>
      <c r="F33" s="462">
        <f>SUM(F2:F31)</f>
        <v>187571.87280000004</v>
      </c>
      <c r="G33" s="883">
        <f>SUM(G2:G31)</f>
        <v>2396751.7080000001</v>
      </c>
      <c r="H33" s="883">
        <f>AVERAGE(H2:H31)</f>
        <v>1.4206666666666667</v>
      </c>
      <c r="I33" s="883">
        <f>AVERAGE(I2:I31)</f>
        <v>2.5583333333333331</v>
      </c>
      <c r="J33" s="883">
        <f>SUM(J2:J31)</f>
        <v>9000</v>
      </c>
      <c r="K33" s="880">
        <f>SUM(K2:K31)</f>
        <v>2405751.7080000001</v>
      </c>
      <c r="L33" s="368"/>
      <c r="M33" s="509"/>
      <c r="P33" s="587">
        <v>5</v>
      </c>
      <c r="Q33" s="955">
        <v>31</v>
      </c>
      <c r="R33" s="69">
        <v>0.25</v>
      </c>
    </row>
    <row r="34" spans="1:18" x14ac:dyDescent="0.2">
      <c r="A34" s="377" t="s">
        <v>50</v>
      </c>
      <c r="B34" s="378"/>
      <c r="C34" s="378" t="s">
        <v>372</v>
      </c>
      <c r="D34" s="378"/>
      <c r="E34" s="378"/>
      <c r="F34" s="378"/>
      <c r="G34" s="378"/>
      <c r="H34" s="378"/>
      <c r="I34" s="877"/>
      <c r="J34" s="877"/>
      <c r="K34" s="878">
        <v>135000</v>
      </c>
      <c r="L34" s="368"/>
      <c r="M34" s="509"/>
      <c r="O34"/>
      <c r="P34" s="587">
        <v>5</v>
      </c>
      <c r="Q34" s="955">
        <v>32</v>
      </c>
      <c r="R34" s="69">
        <v>0.25</v>
      </c>
    </row>
    <row r="35" spans="1:18" x14ac:dyDescent="0.2">
      <c r="A35" s="373" t="s">
        <v>149</v>
      </c>
      <c r="B35" s="375"/>
      <c r="C35" s="375" t="s">
        <v>431</v>
      </c>
      <c r="D35" s="375"/>
      <c r="E35" s="375"/>
      <c r="F35" s="375"/>
      <c r="G35" s="375"/>
      <c r="H35" s="375"/>
      <c r="I35" s="476"/>
      <c r="J35" s="476"/>
      <c r="K35" s="566">
        <v>35000</v>
      </c>
      <c r="L35" s="368"/>
      <c r="M35" s="509"/>
      <c r="O35"/>
      <c r="P35" s="587">
        <v>5</v>
      </c>
      <c r="Q35" s="955">
        <v>33</v>
      </c>
      <c r="R35" s="69">
        <v>0.25</v>
      </c>
    </row>
    <row r="36" spans="1:18" x14ac:dyDescent="0.2">
      <c r="A36" s="373" t="s">
        <v>400</v>
      </c>
      <c r="B36" s="375"/>
      <c r="C36" s="375"/>
      <c r="D36" s="375"/>
      <c r="E36" s="375"/>
      <c r="F36" s="374"/>
      <c r="G36" s="374"/>
      <c r="H36" s="374"/>
      <c r="I36" s="392"/>
      <c r="J36" s="392"/>
      <c r="K36" s="565">
        <f>M36*2000</f>
        <v>27560.000000000004</v>
      </c>
      <c r="L36" s="368"/>
      <c r="M36" s="509">
        <f>(13.25)*1.04</f>
        <v>13.780000000000001</v>
      </c>
      <c r="N36"/>
      <c r="P36" s="587">
        <v>5</v>
      </c>
      <c r="Q36" s="955">
        <v>34</v>
      </c>
      <c r="R36" s="69">
        <v>0.25</v>
      </c>
    </row>
    <row r="37" spans="1:18" ht="15" customHeight="1" thickBot="1" x14ac:dyDescent="0.25">
      <c r="A37" s="379"/>
      <c r="B37" s="380"/>
      <c r="C37" s="380"/>
      <c r="D37" s="380"/>
      <c r="E37" s="380"/>
      <c r="F37" s="380"/>
      <c r="G37" s="380" t="s">
        <v>53</v>
      </c>
      <c r="H37" s="380"/>
      <c r="I37" s="381"/>
      <c r="J37" s="381"/>
      <c r="K37" s="517">
        <f>SUM(K33:K36)</f>
        <v>2603311.7080000001</v>
      </c>
      <c r="L37" s="368"/>
      <c r="M37" s="509"/>
      <c r="P37" s="587">
        <v>5</v>
      </c>
      <c r="Q37" s="955">
        <v>35</v>
      </c>
      <c r="R37" s="69">
        <v>0.25</v>
      </c>
    </row>
    <row r="38" spans="1:18" ht="15" customHeight="1" x14ac:dyDescent="0.2">
      <c r="A38" s="368"/>
      <c r="B38" s="368"/>
      <c r="C38" s="368"/>
      <c r="D38" s="368"/>
      <c r="E38" s="368"/>
      <c r="F38" s="368"/>
      <c r="G38" s="368"/>
      <c r="I38" s="368"/>
      <c r="J38" s="368"/>
      <c r="K38" s="368"/>
      <c r="L38" s="368"/>
      <c r="M38" s="509"/>
      <c r="P38" s="587">
        <v>5</v>
      </c>
      <c r="Q38" s="955">
        <v>36</v>
      </c>
      <c r="R38" s="69">
        <v>0.25</v>
      </c>
    </row>
    <row r="39" spans="1:18" ht="15" customHeight="1" x14ac:dyDescent="0.3">
      <c r="A39" s="921" t="s">
        <v>308</v>
      </c>
      <c r="B39" s="922" t="s">
        <v>45</v>
      </c>
      <c r="C39" s="922" t="s">
        <v>46</v>
      </c>
      <c r="D39" s="922" t="s">
        <v>47</v>
      </c>
      <c r="E39" s="922" t="s">
        <v>307</v>
      </c>
      <c r="F39" s="922" t="s">
        <v>341</v>
      </c>
      <c r="G39" s="922" t="s">
        <v>48</v>
      </c>
      <c r="H39" s="922" t="s">
        <v>447</v>
      </c>
      <c r="I39" s="922" t="s">
        <v>448</v>
      </c>
      <c r="J39" s="922" t="s">
        <v>531</v>
      </c>
      <c r="K39" s="923" t="s">
        <v>306</v>
      </c>
      <c r="L39" s="919" t="s">
        <v>301</v>
      </c>
      <c r="M39" s="920" t="s">
        <v>578</v>
      </c>
      <c r="P39" s="587">
        <v>5</v>
      </c>
      <c r="Q39" s="955">
        <v>37</v>
      </c>
      <c r="R39" s="69">
        <v>0.25</v>
      </c>
    </row>
    <row r="40" spans="1:18" ht="18" customHeight="1" x14ac:dyDescent="0.2">
      <c r="A40" s="373" t="s">
        <v>804</v>
      </c>
      <c r="B40" s="375">
        <v>25</v>
      </c>
      <c r="C40" s="460">
        <f>M40+H40+I40</f>
        <v>83.23</v>
      </c>
      <c r="D40" s="375">
        <v>26</v>
      </c>
      <c r="E40" s="460">
        <f>C40*D40*80</f>
        <v>173118.4</v>
      </c>
      <c r="F40" s="460"/>
      <c r="G40" s="460">
        <f>E40</f>
        <v>173118.4</v>
      </c>
      <c r="H40" s="542">
        <f>1.15+0.58+0.58</f>
        <v>2.31</v>
      </c>
      <c r="I40" s="543">
        <f>P27</f>
        <v>5</v>
      </c>
      <c r="J40" s="539">
        <v>300</v>
      </c>
      <c r="K40" s="418">
        <f>G40+J40</f>
        <v>173418.4</v>
      </c>
      <c r="L40" s="507">
        <v>38626</v>
      </c>
      <c r="M40" s="460">
        <f>(73)*1.04</f>
        <v>75.92</v>
      </c>
      <c r="P40" s="587">
        <v>5</v>
      </c>
      <c r="Q40" s="955">
        <v>38</v>
      </c>
      <c r="R40" s="69">
        <v>0.25</v>
      </c>
    </row>
    <row r="41" spans="1:18" ht="18" customHeight="1" x14ac:dyDescent="0.25">
      <c r="A41" s="513" t="s">
        <v>805</v>
      </c>
      <c r="B41" s="375">
        <v>8</v>
      </c>
      <c r="C41" s="460">
        <f>M41+I41</f>
        <v>44.619199999999999</v>
      </c>
      <c r="D41" s="375">
        <v>26</v>
      </c>
      <c r="E41" s="515">
        <f>C41*D41*80</f>
        <v>92807.935999999987</v>
      </c>
      <c r="F41" s="516"/>
      <c r="G41" s="460">
        <f t="shared" ref="G41:G43" si="36">E41</f>
        <v>92807.935999999987</v>
      </c>
      <c r="H41" s="572"/>
      <c r="I41" s="543">
        <f>P10</f>
        <v>2</v>
      </c>
      <c r="J41" s="571"/>
      <c r="K41" s="418">
        <f>G41</f>
        <v>92807.935999999987</v>
      </c>
      <c r="L41" s="507">
        <v>41169</v>
      </c>
      <c r="M41" s="460">
        <f>(40.98)*1.04</f>
        <v>42.619199999999999</v>
      </c>
      <c r="P41" s="587">
        <v>5</v>
      </c>
      <c r="Q41" s="955">
        <v>39</v>
      </c>
      <c r="R41" s="69">
        <v>0.25</v>
      </c>
    </row>
    <row r="42" spans="1:18" ht="18" customHeight="1" x14ac:dyDescent="0.2">
      <c r="A42" s="373" t="s">
        <v>780</v>
      </c>
      <c r="B42" s="375">
        <v>1</v>
      </c>
      <c r="C42" s="460">
        <f>M42+I42</f>
        <v>32.365200000000002</v>
      </c>
      <c r="D42" s="375">
        <v>26</v>
      </c>
      <c r="E42" s="460">
        <f>C42*D42*40</f>
        <v>33659.808000000005</v>
      </c>
      <c r="F42" s="460"/>
      <c r="G42" s="460">
        <f t="shared" si="36"/>
        <v>33659.808000000005</v>
      </c>
      <c r="H42" s="572"/>
      <c r="I42" s="543">
        <f>P3</f>
        <v>0.25</v>
      </c>
      <c r="J42" s="571"/>
      <c r="K42" s="495">
        <f>G42</f>
        <v>33659.808000000005</v>
      </c>
      <c r="L42" s="507">
        <v>43739</v>
      </c>
      <c r="M42" s="460">
        <f>(30.88)*1.04</f>
        <v>32.115200000000002</v>
      </c>
      <c r="N42" s="368"/>
      <c r="P42" s="587">
        <v>5</v>
      </c>
      <c r="Q42" s="955">
        <v>40</v>
      </c>
      <c r="R42" s="69">
        <v>0.25</v>
      </c>
    </row>
    <row r="43" spans="1:18" ht="18" customHeight="1" x14ac:dyDescent="0.2">
      <c r="A43" s="373" t="s">
        <v>824</v>
      </c>
      <c r="B43" s="375">
        <v>3</v>
      </c>
      <c r="C43" s="460">
        <f>M43+H43+I43</f>
        <v>34.305199999999999</v>
      </c>
      <c r="D43" s="375">
        <v>26</v>
      </c>
      <c r="E43" s="460">
        <f>C43*D43*80</f>
        <v>71354.816000000006</v>
      </c>
      <c r="F43" s="460"/>
      <c r="G43" s="460">
        <f t="shared" si="36"/>
        <v>71354.816000000006</v>
      </c>
      <c r="H43" s="543">
        <f>1.15+0.29</f>
        <v>1.44</v>
      </c>
      <c r="I43" s="543">
        <f>P5</f>
        <v>0.75</v>
      </c>
      <c r="J43" s="949">
        <v>300</v>
      </c>
      <c r="K43" s="418">
        <f>G43+J43</f>
        <v>71654.816000000006</v>
      </c>
      <c r="L43" s="508">
        <v>43010</v>
      </c>
      <c r="M43" s="585">
        <f>(30.88)*1.04</f>
        <v>32.115200000000002</v>
      </c>
    </row>
    <row r="44" spans="1:18" ht="18" customHeight="1" x14ac:dyDescent="0.2">
      <c r="A44" s="373" t="s">
        <v>373</v>
      </c>
      <c r="B44" s="375"/>
      <c r="C44" s="375" t="s">
        <v>631</v>
      </c>
      <c r="D44" s="375"/>
      <c r="E44" s="375"/>
      <c r="F44" s="375"/>
      <c r="G44" s="375"/>
      <c r="H44" s="542"/>
      <c r="I44" s="543"/>
      <c r="J44" s="539"/>
      <c r="K44" s="565">
        <v>115000</v>
      </c>
      <c r="M44" s="247"/>
      <c r="O44" s="368"/>
      <c r="P44" s="90"/>
      <c r="Q44" s="90"/>
    </row>
    <row r="45" spans="1:18" ht="18" customHeight="1" x14ac:dyDescent="0.2">
      <c r="A45" s="33" t="s">
        <v>54</v>
      </c>
      <c r="B45" s="69">
        <f>AVERAGE(B40:B43)</f>
        <v>9.25</v>
      </c>
      <c r="C45" s="585">
        <f>AVERAGE(C40:C43)</f>
        <v>48.629900000000006</v>
      </c>
      <c r="D45" s="69"/>
      <c r="E45" s="585">
        <f>SUM(E40:E43)</f>
        <v>370940.96</v>
      </c>
      <c r="F45" s="585"/>
      <c r="G45" s="585">
        <f>SUM(G40:G43)</f>
        <v>370940.96</v>
      </c>
      <c r="H45" s="960">
        <f>AVERAGE(H40:H43)</f>
        <v>1.875</v>
      </c>
      <c r="I45" s="960">
        <f>AVERAGE(I40:I43)</f>
        <v>2</v>
      </c>
      <c r="J45" s="540">
        <f>SUM(J40:J43)</f>
        <v>600</v>
      </c>
      <c r="K45" s="585">
        <f>SUM(K40:K44)</f>
        <v>486540.96</v>
      </c>
      <c r="M45" s="247"/>
      <c r="P45" s="512"/>
      <c r="Q45" s="90"/>
    </row>
    <row r="46" spans="1:18" ht="18" customHeight="1" thickBot="1" x14ac:dyDescent="0.25">
      <c r="A46" s="382"/>
      <c r="B46" s="383"/>
      <c r="C46" s="383"/>
      <c r="D46" s="383"/>
      <c r="E46" s="383"/>
      <c r="F46" s="383"/>
      <c r="G46" s="383"/>
      <c r="H46" s="622"/>
      <c r="I46" s="544"/>
      <c r="J46" s="541"/>
      <c r="K46" s="514"/>
      <c r="O46" s="90"/>
      <c r="P46" s="90"/>
      <c r="Q46" s="90"/>
    </row>
    <row r="47" spans="1:18" ht="18" customHeight="1" thickBot="1" x14ac:dyDescent="0.25">
      <c r="A47" s="384" t="s">
        <v>55</v>
      </c>
      <c r="B47" s="959">
        <f>AVERAGE(B2:B31,B40:B43)</f>
        <v>10.558823529411764</v>
      </c>
      <c r="C47" s="545">
        <f>AVERAGE(C2:C31,C40:C43)</f>
        <v>29.297317647058819</v>
      </c>
      <c r="D47" s="547"/>
      <c r="E47" s="545">
        <f>SUM(E2:E31,E40:E43)</f>
        <v>2580120.7952000001</v>
      </c>
      <c r="F47" s="545"/>
      <c r="G47" s="545">
        <f>SUM(G2:G31,G40:G43)</f>
        <v>2767692.6680000001</v>
      </c>
      <c r="H47" s="623">
        <f>AVERAGE(H2:H31,H40:H43)</f>
        <v>1.4490625000000001</v>
      </c>
      <c r="I47" s="546">
        <f>AVERAGE(I2:I31,I40:I43)</f>
        <v>2.4926470588235294</v>
      </c>
      <c r="J47" s="546">
        <f>SUM(J2:J31,J40:J43)</f>
        <v>9600</v>
      </c>
      <c r="K47" s="518">
        <f>K37+K45</f>
        <v>3089852.6680000001</v>
      </c>
      <c r="L47" s="441" t="s">
        <v>376</v>
      </c>
      <c r="M47" s="396"/>
      <c r="Q47" s="90"/>
    </row>
    <row r="48" spans="1:18" ht="18" customHeight="1" x14ac:dyDescent="0.2">
      <c r="Q48" s="90"/>
    </row>
    <row r="49" spans="1:18" ht="15.75" customHeight="1" thickBot="1" x14ac:dyDescent="0.3">
      <c r="A49" s="57" t="s">
        <v>56</v>
      </c>
      <c r="N49" s="396"/>
      <c r="O49" s="396"/>
      <c r="Q49" s="90"/>
    </row>
    <row r="50" spans="1:18" ht="17.25" customHeight="1" x14ac:dyDescent="0.2">
      <c r="A50" s="419" t="s">
        <v>57</v>
      </c>
      <c r="B50" s="420"/>
      <c r="C50" s="420"/>
      <c r="D50" s="420"/>
      <c r="E50" s="420"/>
      <c r="F50" s="420"/>
      <c r="G50" s="421">
        <f>'641 BENEFITS'!I4</f>
        <v>225078</v>
      </c>
      <c r="H50" s="368" t="s">
        <v>406</v>
      </c>
      <c r="Q50" s="90"/>
    </row>
    <row r="51" spans="1:18" x14ac:dyDescent="0.2">
      <c r="A51" s="422" t="s">
        <v>336</v>
      </c>
      <c r="B51" s="375"/>
      <c r="C51" s="375"/>
      <c r="D51" s="375"/>
      <c r="E51" s="375"/>
      <c r="F51" s="375"/>
      <c r="G51" s="486">
        <f>'641 BENEFITS'!I5</f>
        <v>5250</v>
      </c>
    </row>
    <row r="52" spans="1:18" ht="13.5" x14ac:dyDescent="0.25">
      <c r="A52" s="422" t="s">
        <v>698</v>
      </c>
      <c r="B52" s="375"/>
      <c r="C52" s="375"/>
      <c r="D52" s="375"/>
      <c r="E52" s="375"/>
      <c r="F52" s="375"/>
      <c r="G52" s="486">
        <f>'641 BENEFITS'!I6+'641 BENEFITS'!I8</f>
        <v>425253</v>
      </c>
    </row>
    <row r="53" spans="1:18" x14ac:dyDescent="0.2">
      <c r="A53" s="422" t="s">
        <v>766</v>
      </c>
      <c r="B53" s="375"/>
      <c r="C53" s="375"/>
      <c r="D53" s="375"/>
      <c r="E53" s="375"/>
      <c r="F53" s="375"/>
      <c r="G53" s="486">
        <f>'641 BENEFITS'!I10+'641 BENEFITS'!I11+'641 BENEFITS'!I12</f>
        <v>51800</v>
      </c>
    </row>
    <row r="54" spans="1:18" ht="13.5" x14ac:dyDescent="0.25">
      <c r="A54" s="423" t="s">
        <v>333</v>
      </c>
      <c r="B54" s="417"/>
      <c r="C54" s="417"/>
      <c r="D54" s="417"/>
      <c r="E54" s="417"/>
      <c r="F54" s="417"/>
      <c r="G54" s="489">
        <f>'641 BENEFITS'!I9</f>
        <v>0</v>
      </c>
      <c r="I54" s="519">
        <v>3.23</v>
      </c>
      <c r="J54" s="525">
        <v>0.88</v>
      </c>
      <c r="K54" s="521">
        <v>0.8</v>
      </c>
      <c r="L54" s="463">
        <v>2013</v>
      </c>
      <c r="M54" s="397" t="s">
        <v>378</v>
      </c>
      <c r="N54" s="398">
        <v>2012</v>
      </c>
      <c r="O54" s="402" t="s">
        <v>338</v>
      </c>
      <c r="P54" s="403">
        <v>2011</v>
      </c>
      <c r="Q54" s="397" t="s">
        <v>314</v>
      </c>
      <c r="R54" s="408"/>
    </row>
    <row r="55" spans="1:18" ht="13.5" x14ac:dyDescent="0.25">
      <c r="A55" s="424" t="s">
        <v>317</v>
      </c>
      <c r="B55" s="372"/>
      <c r="C55" s="372"/>
      <c r="D55" s="372"/>
      <c r="E55" s="536"/>
      <c r="F55" s="1061" t="s">
        <v>404</v>
      </c>
      <c r="G55" s="490">
        <f>'641 BENEFITS'!I13</f>
        <v>61519</v>
      </c>
      <c r="I55" s="33">
        <v>0.44</v>
      </c>
      <c r="J55" s="69">
        <v>0.88</v>
      </c>
      <c r="K55" s="522">
        <v>0.8</v>
      </c>
      <c r="L55" s="464">
        <v>2013</v>
      </c>
      <c r="M55" s="399" t="s">
        <v>379</v>
      </c>
      <c r="N55" s="400">
        <v>2012</v>
      </c>
      <c r="O55" s="404" t="s">
        <v>339</v>
      </c>
      <c r="P55" s="405">
        <v>2011</v>
      </c>
      <c r="Q55" s="399" t="s">
        <v>315</v>
      </c>
      <c r="R55" s="409"/>
    </row>
    <row r="56" spans="1:18" ht="13.5" x14ac:dyDescent="0.25">
      <c r="A56" s="422" t="s">
        <v>374</v>
      </c>
      <c r="B56" s="375"/>
      <c r="C56" s="375"/>
      <c r="D56" s="375"/>
      <c r="E56" s="476"/>
      <c r="F56" s="1062"/>
      <c r="G56" s="486">
        <f>'641 BENEFITS'!I14</f>
        <v>277</v>
      </c>
      <c r="I56" s="33">
        <v>5.68</v>
      </c>
      <c r="J56" s="69">
        <v>0.88</v>
      </c>
      <c r="K56" s="523">
        <v>0.8</v>
      </c>
      <c r="L56" s="464">
        <v>2013</v>
      </c>
      <c r="M56" s="399" t="s">
        <v>380</v>
      </c>
      <c r="N56" s="400">
        <v>2012</v>
      </c>
      <c r="O56" s="406" t="s">
        <v>340</v>
      </c>
      <c r="P56" s="407">
        <v>2011</v>
      </c>
      <c r="Q56" s="410" t="s">
        <v>316</v>
      </c>
      <c r="R56" s="411"/>
    </row>
    <row r="57" spans="1:18" ht="13.5" x14ac:dyDescent="0.25">
      <c r="A57" s="422" t="s">
        <v>318</v>
      </c>
      <c r="B57" s="375"/>
      <c r="C57" s="375"/>
      <c r="D57" s="375"/>
      <c r="E57" s="476"/>
      <c r="F57" s="1062"/>
      <c r="G57" s="567">
        <v>443.52</v>
      </c>
      <c r="I57" s="33">
        <v>0.43</v>
      </c>
      <c r="J57" s="526">
        <v>0.88</v>
      </c>
      <c r="K57" s="522">
        <v>0.8</v>
      </c>
      <c r="L57" s="464">
        <v>2013</v>
      </c>
      <c r="M57" s="412" t="s">
        <v>381</v>
      </c>
      <c r="N57" s="400">
        <v>2012</v>
      </c>
      <c r="O57" s="90"/>
    </row>
    <row r="58" spans="1:18" ht="13.5" x14ac:dyDescent="0.25">
      <c r="A58" s="423" t="s">
        <v>375</v>
      </c>
      <c r="B58" s="417"/>
      <c r="C58" s="417"/>
      <c r="D58" s="417"/>
      <c r="E58" s="537"/>
      <c r="F58" s="1062"/>
      <c r="G58" s="489">
        <f>'641 BENEFITS'!I16</f>
        <v>348</v>
      </c>
      <c r="I58" s="520">
        <v>0.39</v>
      </c>
      <c r="J58" s="527">
        <v>0.88</v>
      </c>
      <c r="K58" s="524">
        <v>0.8</v>
      </c>
      <c r="L58" s="465">
        <v>2013</v>
      </c>
      <c r="M58" s="132" t="s">
        <v>382</v>
      </c>
      <c r="N58" s="401">
        <v>2012</v>
      </c>
      <c r="O58" s="90"/>
    </row>
    <row r="59" spans="1:18" ht="14.25" thickBot="1" x14ac:dyDescent="0.3">
      <c r="A59" s="423" t="s">
        <v>377</v>
      </c>
      <c r="B59" s="417"/>
      <c r="C59" s="417"/>
      <c r="D59" s="417"/>
      <c r="E59" s="537"/>
      <c r="F59" s="1063"/>
      <c r="G59" s="538">
        <f>'641 BENEFITS'!I17</f>
        <v>8</v>
      </c>
      <c r="K59" s="386" t="s">
        <v>403</v>
      </c>
      <c r="L59" s="385"/>
      <c r="M59" s="369"/>
      <c r="N59" s="90"/>
    </row>
    <row r="60" spans="1:18" x14ac:dyDescent="0.2">
      <c r="A60" s="479" t="s">
        <v>355</v>
      </c>
      <c r="B60" s="416"/>
      <c r="C60" s="416"/>
      <c r="D60" s="416"/>
      <c r="E60" s="416"/>
      <c r="F60" s="506"/>
      <c r="G60" s="568"/>
    </row>
    <row r="61" spans="1:18" ht="15.75" x14ac:dyDescent="0.25">
      <c r="A61" s="480" t="s">
        <v>319</v>
      </c>
      <c r="B61" s="378"/>
      <c r="C61" s="378"/>
      <c r="D61" s="378"/>
      <c r="E61" s="378"/>
      <c r="F61" s="378"/>
      <c r="G61" s="491">
        <f>'641 BENEFITS'!I19</f>
        <v>30000</v>
      </c>
      <c r="H61" s="624"/>
      <c r="J61" s="477" t="s">
        <v>412</v>
      </c>
      <c r="K61" s="477"/>
      <c r="L61" s="477"/>
      <c r="M61" s="477"/>
      <c r="N61" s="477"/>
      <c r="O61" s="368"/>
    </row>
    <row r="62" spans="1:18" x14ac:dyDescent="0.2">
      <c r="A62" s="422" t="s">
        <v>337</v>
      </c>
      <c r="B62" s="375"/>
      <c r="C62" s="375"/>
      <c r="D62" s="375"/>
      <c r="E62" s="375"/>
      <c r="F62" s="375"/>
      <c r="G62" s="486">
        <f>'641 BENEFITS'!I20+'641 BENEFITS'!I21+'641 BENEFITS'!I22</f>
        <v>11280</v>
      </c>
    </row>
    <row r="63" spans="1:18" x14ac:dyDescent="0.2">
      <c r="A63" s="422" t="s">
        <v>65</v>
      </c>
      <c r="B63" s="375"/>
      <c r="C63" s="375"/>
      <c r="D63" s="375"/>
      <c r="E63" s="375"/>
      <c r="F63" s="375"/>
      <c r="G63" s="486">
        <f>'641 BENEFITS'!I23</f>
        <v>2000</v>
      </c>
      <c r="Q63" s="320"/>
    </row>
    <row r="64" spans="1:18" ht="13.5" thickBot="1" x14ac:dyDescent="0.25">
      <c r="A64" s="425" t="s">
        <v>607</v>
      </c>
      <c r="B64" s="426"/>
      <c r="C64" s="426"/>
      <c r="D64" s="426"/>
      <c r="E64" s="426"/>
      <c r="F64" s="426"/>
      <c r="G64" s="427">
        <f>(K47-K36-K42-K44)*0.14</f>
        <v>407908.6004</v>
      </c>
    </row>
    <row r="65" spans="1:11" ht="14.25" thickTop="1" thickBot="1" x14ac:dyDescent="0.25">
      <c r="A65" s="387" t="s">
        <v>66</v>
      </c>
      <c r="B65" s="388"/>
      <c r="C65" s="388"/>
      <c r="D65" s="388"/>
      <c r="E65" s="388"/>
      <c r="F65" s="388"/>
      <c r="G65" s="415">
        <f>SUM(G50:G64)</f>
        <v>1221165.1203999999</v>
      </c>
      <c r="K65" s="247"/>
    </row>
    <row r="66" spans="1:11" ht="15" thickTop="1" thickBot="1" x14ac:dyDescent="0.3">
      <c r="A66" s="389" t="s">
        <v>67</v>
      </c>
      <c r="B66" s="390"/>
      <c r="C66" s="390"/>
      <c r="D66" s="390"/>
      <c r="E66" s="390"/>
      <c r="F66" s="390"/>
      <c r="G66" s="478">
        <f>K47+G65</f>
        <v>4311017.7884</v>
      </c>
    </row>
    <row r="68" spans="1:11" x14ac:dyDescent="0.2">
      <c r="E68" s="391"/>
    </row>
    <row r="69" spans="1:11" x14ac:dyDescent="0.2">
      <c r="G69" s="247"/>
    </row>
  </sheetData>
  <sortState ref="A23:M27">
    <sortCondition descending="1" ref="B23:B27"/>
  </sortState>
  <mergeCells count="2">
    <mergeCell ref="F55:F59"/>
    <mergeCell ref="P1:R1"/>
  </mergeCells>
  <pageMargins left="0.7" right="0.7" top="0.75" bottom="0.75" header="0.3" footer="0.3"/>
  <pageSetup scale="67" fitToHeight="2"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8" max="16383" man="1"/>
    <brk id="4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ColWidth="9.140625" defaultRowHeight="12.75" x14ac:dyDescent="0.2"/>
  <cols>
    <col min="1" max="1" width="15.28515625" style="22" customWidth="1"/>
    <col min="2" max="2" width="10.85546875" style="22" customWidth="1"/>
    <col min="3" max="3" width="9.28515625" style="22" customWidth="1"/>
    <col min="4" max="4" width="9.5703125" style="22" customWidth="1"/>
    <col min="5" max="5" width="11" style="22" customWidth="1"/>
    <col min="6" max="6" width="9.42578125" style="22" customWidth="1"/>
    <col min="7" max="7" width="10.28515625" style="22" customWidth="1"/>
    <col min="8" max="8" width="10.5703125" style="22" customWidth="1"/>
    <col min="9" max="9" width="11.140625" style="22" customWidth="1"/>
    <col min="10" max="10" width="11.28515625" style="22" bestFit="1" customWidth="1"/>
    <col min="11" max="11" width="9.140625" style="22"/>
    <col min="12" max="12" width="10.7109375" style="22" bestFit="1" customWidth="1"/>
    <col min="13" max="13" width="11.28515625" style="22" bestFit="1" customWidth="1"/>
    <col min="14" max="16384" width="9.140625" style="22"/>
  </cols>
  <sheetData>
    <row r="1" spans="1:12" s="248" customFormat="1" ht="21" customHeight="1" x14ac:dyDescent="0.2">
      <c r="A1" s="328"/>
      <c r="B1" s="329" t="s">
        <v>222</v>
      </c>
      <c r="C1" s="330" t="s">
        <v>219</v>
      </c>
      <c r="D1" s="330" t="s">
        <v>335</v>
      </c>
      <c r="E1" s="330" t="s">
        <v>223</v>
      </c>
      <c r="F1" s="330" t="s">
        <v>224</v>
      </c>
      <c r="G1" s="330" t="s">
        <v>221</v>
      </c>
      <c r="H1" s="330" t="s">
        <v>363</v>
      </c>
      <c r="I1" s="136" t="s">
        <v>128</v>
      </c>
      <c r="J1" s="1070" t="s">
        <v>411</v>
      </c>
    </row>
    <row r="2" spans="1:12" s="248" customFormat="1" ht="21" customHeight="1" x14ac:dyDescent="0.2">
      <c r="A2" s="331" t="s">
        <v>225</v>
      </c>
      <c r="B2" s="332">
        <v>61865</v>
      </c>
      <c r="C2" s="332">
        <f>B2*0.0765</f>
        <v>4732.6724999999997</v>
      </c>
      <c r="D2" s="332">
        <v>119.9</v>
      </c>
      <c r="E2" s="333">
        <f>B2/100*3.33*1.36*0.85</f>
        <v>2381.480802</v>
      </c>
      <c r="F2" s="332">
        <v>1455.67</v>
      </c>
      <c r="G2" s="332">
        <v>8960.0400000000009</v>
      </c>
      <c r="H2" s="332">
        <f>B2*0.095</f>
        <v>5877.1750000000002</v>
      </c>
      <c r="I2" s="139">
        <f>SUM(B2:H2)</f>
        <v>85391.93830200001</v>
      </c>
      <c r="J2" s="1070"/>
    </row>
    <row r="3" spans="1:12" ht="18" customHeight="1" x14ac:dyDescent="0.2">
      <c r="A3" s="334" t="s">
        <v>225</v>
      </c>
      <c r="B3" s="333">
        <v>61268</v>
      </c>
      <c r="C3" s="333">
        <f>B3*0.0765</f>
        <v>4687.0019999999995</v>
      </c>
      <c r="D3" s="333">
        <v>119.9</v>
      </c>
      <c r="E3" s="333">
        <f t="shared" ref="E3:E20" si="0">B3/100*3.33*1.36*0.85</f>
        <v>2358.4994063999998</v>
      </c>
      <c r="F3" s="333">
        <v>1455.67</v>
      </c>
      <c r="G3" s="333">
        <v>8960.0400000000009</v>
      </c>
      <c r="H3" s="333">
        <f t="shared" ref="H3:H25" si="1">B3*0.095</f>
        <v>5820.46</v>
      </c>
      <c r="I3" s="137">
        <f t="shared" ref="I3:I8" si="2">SUM(B3:H3)</f>
        <v>84669.571406399991</v>
      </c>
      <c r="J3" s="1070"/>
    </row>
    <row r="4" spans="1:12" ht="18" customHeight="1" x14ac:dyDescent="0.2">
      <c r="A4" s="342" t="s">
        <v>225</v>
      </c>
      <c r="B4" s="343">
        <v>61269</v>
      </c>
      <c r="C4" s="343">
        <f>B4*0.0765</f>
        <v>4687.0784999999996</v>
      </c>
      <c r="D4" s="343">
        <v>119.9</v>
      </c>
      <c r="E4" s="343">
        <f t="shared" si="0"/>
        <v>2358.5379012000003</v>
      </c>
      <c r="F4" s="343">
        <v>1455.67</v>
      </c>
      <c r="G4" s="343">
        <v>8960.0400000000009</v>
      </c>
      <c r="H4" s="343">
        <f t="shared" si="1"/>
        <v>5820.5550000000003</v>
      </c>
      <c r="I4" s="326">
        <f>SUM(B4:H4)</f>
        <v>84670.781401199987</v>
      </c>
      <c r="J4" s="1070"/>
    </row>
    <row r="5" spans="1:12" ht="18" customHeight="1" x14ac:dyDescent="0.2">
      <c r="A5" s="347" t="s">
        <v>226</v>
      </c>
      <c r="B5" s="332">
        <v>52203</v>
      </c>
      <c r="C5" s="332">
        <f>B5*0.0765</f>
        <v>3993.5295000000001</v>
      </c>
      <c r="D5" s="332">
        <v>119.9</v>
      </c>
      <c r="E5" s="332">
        <f>B5/100*3.33*1.36*0.85</f>
        <v>2009.5440444000001</v>
      </c>
      <c r="F5" s="332">
        <v>1455.67</v>
      </c>
      <c r="G5" s="332">
        <v>4777.76</v>
      </c>
      <c r="H5" s="332">
        <f>B5*0.095</f>
        <v>4959.2849999999999</v>
      </c>
      <c r="I5" s="362">
        <f>SUM(B5:H5)</f>
        <v>69518.688544399993</v>
      </c>
      <c r="J5" s="1070"/>
    </row>
    <row r="6" spans="1:12" ht="18" customHeight="1" x14ac:dyDescent="0.2">
      <c r="A6" s="348" t="s">
        <v>226</v>
      </c>
      <c r="B6" s="333">
        <v>52504.3</v>
      </c>
      <c r="C6" s="333">
        <f t="shared" ref="C6:C35" si="3">B6*0.0765</f>
        <v>4016.5789500000001</v>
      </c>
      <c r="D6" s="333">
        <v>119.9</v>
      </c>
      <c r="E6" s="333">
        <f t="shared" si="0"/>
        <v>2021.1425276400003</v>
      </c>
      <c r="F6" s="333">
        <v>1455.67</v>
      </c>
      <c r="G6" s="333">
        <v>8960.0400000000009</v>
      </c>
      <c r="H6" s="333">
        <f t="shared" si="1"/>
        <v>4987.9085000000005</v>
      </c>
      <c r="I6" s="137">
        <f t="shared" si="2"/>
        <v>74065.539977640015</v>
      </c>
      <c r="J6" s="1070"/>
    </row>
    <row r="7" spans="1:12" ht="18" customHeight="1" x14ac:dyDescent="0.2">
      <c r="A7" s="349" t="s">
        <v>226</v>
      </c>
      <c r="B7" s="336">
        <v>51304.3</v>
      </c>
      <c r="C7" s="336">
        <f>B7*0.0765</f>
        <v>3924.7789500000003</v>
      </c>
      <c r="D7" s="336">
        <v>119.9</v>
      </c>
      <c r="E7" s="336">
        <f>B7/100*3.33*1.36*0.85</f>
        <v>1974.9487676400001</v>
      </c>
      <c r="F7" s="336">
        <v>1455.67</v>
      </c>
      <c r="G7" s="336">
        <v>4777.76</v>
      </c>
      <c r="H7" s="336">
        <f>B7*0.095</f>
        <v>4873.9085000000005</v>
      </c>
      <c r="I7" s="360">
        <f>SUM(B7:H7)</f>
        <v>68431.266217640004</v>
      </c>
      <c r="J7" s="1070"/>
      <c r="L7" s="247"/>
    </row>
    <row r="8" spans="1:12" s="90" customFormat="1" ht="18" customHeight="1" x14ac:dyDescent="0.2">
      <c r="A8" s="358" t="s">
        <v>367</v>
      </c>
      <c r="B8" s="354">
        <v>55456.37</v>
      </c>
      <c r="C8" s="354">
        <f t="shared" si="3"/>
        <v>4242.4123049999998</v>
      </c>
      <c r="D8" s="354">
        <v>119.9</v>
      </c>
      <c r="E8" s="357">
        <f t="shared" si="0"/>
        <v>2134.7818718760004</v>
      </c>
      <c r="F8" s="351">
        <v>1455.67</v>
      </c>
      <c r="G8" s="354">
        <v>4777.76</v>
      </c>
      <c r="H8" s="351">
        <f t="shared" si="1"/>
        <v>5268.3551500000003</v>
      </c>
      <c r="I8" s="361">
        <f t="shared" si="2"/>
        <v>73455.249326876001</v>
      </c>
      <c r="J8" s="1070"/>
    </row>
    <row r="9" spans="1:12" ht="18" customHeight="1" x14ac:dyDescent="0.2">
      <c r="A9" s="347" t="s">
        <v>227</v>
      </c>
      <c r="B9" s="332">
        <v>48731.7</v>
      </c>
      <c r="C9" s="332">
        <f>B9*0.0765</f>
        <v>3727.9750499999996</v>
      </c>
      <c r="D9" s="332">
        <v>119.9</v>
      </c>
      <c r="E9" s="332">
        <f>B9/100*3.33*1.36*0.85</f>
        <v>1875.91704516</v>
      </c>
      <c r="F9" s="332">
        <v>1455.67</v>
      </c>
      <c r="G9" s="332">
        <v>4776.76</v>
      </c>
      <c r="H9" s="332">
        <f>B9*0.095</f>
        <v>4629.5114999999996</v>
      </c>
      <c r="I9" s="362">
        <f>SUM(B9:H9)</f>
        <v>65317.433595160001</v>
      </c>
      <c r="J9" s="1070"/>
    </row>
    <row r="10" spans="1:12" ht="18" customHeight="1" x14ac:dyDescent="0.2">
      <c r="A10" s="348" t="s">
        <v>227</v>
      </c>
      <c r="B10" s="333">
        <v>49693.7</v>
      </c>
      <c r="C10" s="333">
        <f t="shared" ref="C10:C17" si="4">B10*0.0765</f>
        <v>3801.5680499999999</v>
      </c>
      <c r="D10" s="333">
        <v>119.9</v>
      </c>
      <c r="E10" s="333">
        <f t="shared" si="0"/>
        <v>1912.9490427599999</v>
      </c>
      <c r="F10" s="333">
        <v>1455.67</v>
      </c>
      <c r="G10" s="333">
        <v>4777.76</v>
      </c>
      <c r="H10" s="333">
        <f t="shared" si="1"/>
        <v>4720.9014999999999</v>
      </c>
      <c r="I10" s="363">
        <f t="shared" ref="I10:I27" si="5">SUM(B10:H10)</f>
        <v>66482.448592760004</v>
      </c>
      <c r="J10" s="1070"/>
    </row>
    <row r="11" spans="1:12" ht="18" customHeight="1" x14ac:dyDescent="0.2">
      <c r="A11" s="348" t="s">
        <v>227</v>
      </c>
      <c r="B11" s="333">
        <v>49093.7</v>
      </c>
      <c r="C11" s="333">
        <f>B11*0.0765</f>
        <v>3755.6680499999998</v>
      </c>
      <c r="D11" s="333">
        <v>119.9</v>
      </c>
      <c r="E11" s="333">
        <f>B11/100*3.33*1.36*0.85</f>
        <v>1889.8521627600001</v>
      </c>
      <c r="F11" s="333">
        <v>1455.67</v>
      </c>
      <c r="G11" s="333">
        <v>8960.0400000000009</v>
      </c>
      <c r="H11" s="333">
        <f>B11*0.095</f>
        <v>4663.9014999999999</v>
      </c>
      <c r="I11" s="137">
        <f>SUM(B11:H11)</f>
        <v>69938.731712759996</v>
      </c>
      <c r="J11" s="1070"/>
    </row>
    <row r="12" spans="1:12" ht="18" customHeight="1" x14ac:dyDescent="0.2">
      <c r="A12" s="348" t="s">
        <v>227</v>
      </c>
      <c r="B12" s="333">
        <v>48135.7</v>
      </c>
      <c r="C12" s="333">
        <f t="shared" si="4"/>
        <v>3682.3810499999995</v>
      </c>
      <c r="D12" s="333">
        <v>119.9</v>
      </c>
      <c r="E12" s="333">
        <f t="shared" si="0"/>
        <v>1852.9741443599999</v>
      </c>
      <c r="F12" s="333">
        <v>1455.67</v>
      </c>
      <c r="G12" s="333">
        <v>4777.76</v>
      </c>
      <c r="H12" s="333">
        <f t="shared" si="1"/>
        <v>4572.8914999999997</v>
      </c>
      <c r="I12" s="363">
        <f t="shared" si="5"/>
        <v>64597.276694359993</v>
      </c>
      <c r="J12" s="1070"/>
    </row>
    <row r="13" spans="1:12" ht="18" customHeight="1" x14ac:dyDescent="0.2">
      <c r="A13" s="348" t="s">
        <v>227</v>
      </c>
      <c r="B13" s="333">
        <v>46636.7</v>
      </c>
      <c r="C13" s="333">
        <f>B13*0.0765</f>
        <v>3567.7075499999996</v>
      </c>
      <c r="D13" s="333">
        <v>119.9</v>
      </c>
      <c r="E13" s="333">
        <f>B13/100*3.33*1.36*0.85</f>
        <v>1795.2704391599998</v>
      </c>
      <c r="F13" s="333">
        <v>1455.67</v>
      </c>
      <c r="G13" s="333">
        <v>7301.36</v>
      </c>
      <c r="H13" s="333">
        <f>B13*0.095</f>
        <v>4430.4865</v>
      </c>
      <c r="I13" s="363">
        <f>SUM(B13:H13)</f>
        <v>65307.094489159994</v>
      </c>
      <c r="J13" s="1070"/>
    </row>
    <row r="14" spans="1:12" ht="18" customHeight="1" x14ac:dyDescent="0.2">
      <c r="A14" s="349" t="s">
        <v>227</v>
      </c>
      <c r="B14" s="336">
        <v>49636.7</v>
      </c>
      <c r="C14" s="336">
        <f>B14*0.0765</f>
        <v>3797.2075499999996</v>
      </c>
      <c r="D14" s="336">
        <v>119.9</v>
      </c>
      <c r="E14" s="336">
        <f>B14/100*3.33*1.36*0.85</f>
        <v>1910.7548391600003</v>
      </c>
      <c r="F14" s="336">
        <v>1455.67</v>
      </c>
      <c r="G14" s="336">
        <v>4777.76</v>
      </c>
      <c r="H14" s="336">
        <f>B14*0.095</f>
        <v>4715.4865</v>
      </c>
      <c r="I14" s="360">
        <f>SUM(B14:H14)</f>
        <v>66413.478889160004</v>
      </c>
      <c r="J14" s="1070"/>
    </row>
    <row r="15" spans="1:12" ht="18" customHeight="1" x14ac:dyDescent="0.2">
      <c r="A15" s="347" t="s">
        <v>228</v>
      </c>
      <c r="B15" s="332">
        <v>42269.3</v>
      </c>
      <c r="C15" s="332">
        <f>B15*0.0765</f>
        <v>3233.6014500000001</v>
      </c>
      <c r="D15" s="332">
        <v>119.9</v>
      </c>
      <c r="E15" s="332">
        <f>B15/100*3.33*1.36*0.85</f>
        <v>1627.1482496400001</v>
      </c>
      <c r="F15" s="332">
        <v>1455.67</v>
      </c>
      <c r="G15" s="332">
        <v>8960.0400000000009</v>
      </c>
      <c r="H15" s="332">
        <f>B15*0.095</f>
        <v>4015.5835000000002</v>
      </c>
      <c r="I15" s="362">
        <f>SUM(B15:H15)</f>
        <v>61681.243199640005</v>
      </c>
      <c r="J15" s="1070"/>
    </row>
    <row r="16" spans="1:12" ht="18" customHeight="1" x14ac:dyDescent="0.2">
      <c r="A16" s="334" t="s">
        <v>228</v>
      </c>
      <c r="B16" s="333">
        <v>42631.3</v>
      </c>
      <c r="C16" s="333">
        <f t="shared" si="4"/>
        <v>3261.2944500000003</v>
      </c>
      <c r="D16" s="333">
        <v>119.9</v>
      </c>
      <c r="E16" s="333">
        <f t="shared" si="0"/>
        <v>1641.0833672400004</v>
      </c>
      <c r="F16" s="333">
        <v>1455.67</v>
      </c>
      <c r="G16" s="333">
        <v>4777.76</v>
      </c>
      <c r="H16" s="333">
        <f t="shared" si="1"/>
        <v>4049.9735000000005</v>
      </c>
      <c r="I16" s="137">
        <f t="shared" si="5"/>
        <v>57936.981317240003</v>
      </c>
      <c r="J16" s="1070"/>
    </row>
    <row r="17" spans="1:13" ht="18" customHeight="1" x14ac:dyDescent="0.2">
      <c r="A17" s="334" t="s">
        <v>228</v>
      </c>
      <c r="B17" s="333">
        <v>43831.3</v>
      </c>
      <c r="C17" s="333">
        <f t="shared" si="4"/>
        <v>3353.0944500000001</v>
      </c>
      <c r="D17" s="333">
        <v>119.9</v>
      </c>
      <c r="E17" s="333">
        <f t="shared" si="0"/>
        <v>1687.2771272400003</v>
      </c>
      <c r="F17" s="333">
        <v>1455.67</v>
      </c>
      <c r="G17" s="333">
        <v>8960.0400000000009</v>
      </c>
      <c r="H17" s="333">
        <f t="shared" si="1"/>
        <v>4163.9735000000001</v>
      </c>
      <c r="I17" s="137">
        <f t="shared" si="5"/>
        <v>63571.255077239999</v>
      </c>
      <c r="J17" s="1070"/>
    </row>
    <row r="18" spans="1:13" ht="18" customHeight="1" x14ac:dyDescent="0.2">
      <c r="A18" s="334" t="s">
        <v>228</v>
      </c>
      <c r="B18" s="333">
        <v>42631.3</v>
      </c>
      <c r="C18" s="333">
        <f t="shared" ref="C18:C20" si="6">B18*0.0765</f>
        <v>3261.2944500000003</v>
      </c>
      <c r="D18" s="333">
        <v>119.9</v>
      </c>
      <c r="E18" s="333">
        <f t="shared" si="0"/>
        <v>1641.0833672400004</v>
      </c>
      <c r="F18" s="333">
        <v>1455.67</v>
      </c>
      <c r="G18" s="333">
        <v>6983.72</v>
      </c>
      <c r="H18" s="333">
        <f t="shared" si="1"/>
        <v>4049.9735000000005</v>
      </c>
      <c r="I18" s="137">
        <f t="shared" ref="I18:I20" si="7">SUM(B18:H18)</f>
        <v>60142.941317240002</v>
      </c>
      <c r="J18" s="1070"/>
    </row>
    <row r="19" spans="1:13" ht="18" customHeight="1" x14ac:dyDescent="0.2">
      <c r="A19" s="334" t="s">
        <v>228</v>
      </c>
      <c r="B19" s="333">
        <v>42631.3</v>
      </c>
      <c r="C19" s="333">
        <f t="shared" si="6"/>
        <v>3261.2944500000003</v>
      </c>
      <c r="D19" s="333">
        <v>119.9</v>
      </c>
      <c r="E19" s="333">
        <f t="shared" si="0"/>
        <v>1641.0833672400004</v>
      </c>
      <c r="F19" s="333">
        <v>1455.67</v>
      </c>
      <c r="G19" s="333">
        <v>8960.0400000000009</v>
      </c>
      <c r="H19" s="333">
        <f t="shared" si="1"/>
        <v>4049.9735000000005</v>
      </c>
      <c r="I19" s="137">
        <f t="shared" si="7"/>
        <v>62119.261317240002</v>
      </c>
      <c r="J19" s="1070"/>
    </row>
    <row r="20" spans="1:13" ht="18" customHeight="1" x14ac:dyDescent="0.2">
      <c r="A20" s="334" t="s">
        <v>228</v>
      </c>
      <c r="B20" s="333">
        <v>41671.300000000003</v>
      </c>
      <c r="C20" s="333">
        <f t="shared" si="6"/>
        <v>3187.8544500000003</v>
      </c>
      <c r="D20" s="333">
        <v>119.9</v>
      </c>
      <c r="E20" s="333">
        <f t="shared" si="0"/>
        <v>1604.1283592400002</v>
      </c>
      <c r="F20" s="333">
        <v>1455.67</v>
      </c>
      <c r="G20" s="333">
        <v>4777.76</v>
      </c>
      <c r="H20" s="333">
        <f t="shared" si="1"/>
        <v>3958.7735000000002</v>
      </c>
      <c r="I20" s="137">
        <f t="shared" si="7"/>
        <v>56775.386309240006</v>
      </c>
      <c r="J20" s="1070"/>
    </row>
    <row r="21" spans="1:13" ht="18" customHeight="1" x14ac:dyDescent="0.2">
      <c r="A21" s="334" t="s">
        <v>368</v>
      </c>
      <c r="B21" s="333">
        <v>250096.8</v>
      </c>
      <c r="C21" s="333">
        <f t="shared" ref="C21:C22" si="8">B21*0.0765</f>
        <v>19132.405199999997</v>
      </c>
      <c r="D21" s="333">
        <v>720</v>
      </c>
      <c r="E21" s="333">
        <f t="shared" ref="E21:E26" si="9">B21/100*3.33*1.36*0.85</f>
        <v>9627.4262966400001</v>
      </c>
      <c r="F21" s="333">
        <v>8734.02</v>
      </c>
      <c r="G21" s="333">
        <v>31503.8</v>
      </c>
      <c r="H21" s="333">
        <f t="shared" si="1"/>
        <v>23759.196</v>
      </c>
      <c r="I21" s="137">
        <f t="shared" ref="I21:I22" si="10">SUM(B21:H21)</f>
        <v>343573.64749663998</v>
      </c>
      <c r="J21" s="1070"/>
    </row>
    <row r="22" spans="1:13" ht="18" customHeight="1" x14ac:dyDescent="0.2">
      <c r="A22" s="334" t="s">
        <v>369</v>
      </c>
      <c r="B22" s="333">
        <v>80054.179999999993</v>
      </c>
      <c r="C22" s="333">
        <f t="shared" si="8"/>
        <v>6124.144769999999</v>
      </c>
      <c r="D22" s="333">
        <v>240</v>
      </c>
      <c r="E22" s="333">
        <f t="shared" si="9"/>
        <v>3081.669648264</v>
      </c>
      <c r="F22" s="333">
        <v>2911.3420000000001</v>
      </c>
      <c r="G22" s="333">
        <v>9555.52</v>
      </c>
      <c r="H22" s="333">
        <f t="shared" si="1"/>
        <v>7605.1470999999992</v>
      </c>
      <c r="I22" s="137">
        <f t="shared" si="10"/>
        <v>109572.003518264</v>
      </c>
      <c r="J22" s="1070"/>
    </row>
    <row r="23" spans="1:13" ht="18" customHeight="1" x14ac:dyDescent="0.2">
      <c r="A23" s="342" t="s">
        <v>357</v>
      </c>
      <c r="B23" s="343">
        <v>39372.449999999997</v>
      </c>
      <c r="C23" s="343">
        <f>B23*0.0765</f>
        <v>3011.9924249999999</v>
      </c>
      <c r="D23" s="343">
        <v>120</v>
      </c>
      <c r="E23" s="343">
        <f t="shared" si="9"/>
        <v>1515.6345882599999</v>
      </c>
      <c r="F23" s="333">
        <v>1455.67</v>
      </c>
      <c r="G23" s="343">
        <v>4777.76</v>
      </c>
      <c r="H23" s="333">
        <f t="shared" si="1"/>
        <v>3740.3827499999998</v>
      </c>
      <c r="I23" s="326">
        <f>SUM(B23:H23)</f>
        <v>53993.889763259991</v>
      </c>
      <c r="J23" s="1070"/>
      <c r="L23" s="327"/>
    </row>
    <row r="24" spans="1:13" ht="17.25" customHeight="1" x14ac:dyDescent="0.2">
      <c r="A24" s="337" t="s">
        <v>69</v>
      </c>
      <c r="B24" s="332">
        <v>65220</v>
      </c>
      <c r="C24" s="332">
        <f t="shared" si="3"/>
        <v>4989.33</v>
      </c>
      <c r="D24" s="338"/>
      <c r="E24" s="332">
        <f t="shared" si="9"/>
        <v>2510.6308560000002</v>
      </c>
      <c r="F24" s="338"/>
      <c r="G24" s="338"/>
      <c r="H24" s="332">
        <f t="shared" si="1"/>
        <v>6195.9</v>
      </c>
      <c r="I24" s="139">
        <f t="shared" si="5"/>
        <v>78915.860855999999</v>
      </c>
      <c r="J24" s="1070"/>
    </row>
    <row r="25" spans="1:13" ht="18" customHeight="1" x14ac:dyDescent="0.2">
      <c r="A25" s="339" t="s">
        <v>149</v>
      </c>
      <c r="B25" s="333">
        <v>11869</v>
      </c>
      <c r="C25" s="333">
        <f t="shared" si="3"/>
        <v>907.97849999999994</v>
      </c>
      <c r="D25" s="340"/>
      <c r="E25" s="333">
        <f t="shared" si="9"/>
        <v>456.89478120000001</v>
      </c>
      <c r="F25" s="340"/>
      <c r="G25" s="340"/>
      <c r="H25" s="333">
        <f t="shared" si="1"/>
        <v>1127.5550000000001</v>
      </c>
      <c r="I25" s="137">
        <f t="shared" si="5"/>
        <v>14361.4282812</v>
      </c>
      <c r="J25" s="1070"/>
      <c r="L25" s="327"/>
    </row>
    <row r="26" spans="1:13" ht="18" customHeight="1" x14ac:dyDescent="0.2">
      <c r="A26" s="339" t="s">
        <v>364</v>
      </c>
      <c r="B26" s="333">
        <v>16124</v>
      </c>
      <c r="C26" s="333">
        <f t="shared" si="3"/>
        <v>1233.4859999999999</v>
      </c>
      <c r="D26" s="333">
        <v>492</v>
      </c>
      <c r="E26" s="333">
        <f t="shared" si="9"/>
        <v>620.69015520000005</v>
      </c>
      <c r="F26" s="333">
        <v>650.21119999999996</v>
      </c>
      <c r="G26" s="340"/>
      <c r="H26" s="340"/>
      <c r="I26" s="137">
        <f t="shared" si="5"/>
        <v>19120.387355200004</v>
      </c>
      <c r="J26" s="1070"/>
      <c r="M26" s="327"/>
    </row>
    <row r="27" spans="1:13" ht="18" customHeight="1" x14ac:dyDescent="0.2">
      <c r="A27" s="350" t="s">
        <v>362</v>
      </c>
      <c r="B27" s="352"/>
      <c r="C27" s="352"/>
      <c r="D27" s="352"/>
      <c r="E27" s="351">
        <v>965.41</v>
      </c>
      <c r="F27" s="351">
        <v>405.59</v>
      </c>
      <c r="G27" s="352"/>
      <c r="H27" s="359"/>
      <c r="I27" s="137">
        <f t="shared" si="5"/>
        <v>1371</v>
      </c>
      <c r="J27" s="1070"/>
      <c r="M27" s="327"/>
    </row>
    <row r="28" spans="1:13" ht="18" customHeight="1" x14ac:dyDescent="0.2">
      <c r="A28" s="331" t="s">
        <v>229</v>
      </c>
      <c r="B28" s="332">
        <v>86707.199999999997</v>
      </c>
      <c r="C28" s="332">
        <f t="shared" si="3"/>
        <v>6633.1007999999993</v>
      </c>
      <c r="D28" s="332">
        <v>120</v>
      </c>
      <c r="E28" s="332">
        <f t="shared" ref="E28:E34" si="11">B28/100*0.44*1.36*0.85</f>
        <v>441.02750207999998</v>
      </c>
      <c r="F28" s="332">
        <v>1455.671</v>
      </c>
      <c r="G28" s="332">
        <v>8960.0400000000009</v>
      </c>
      <c r="H28" s="332">
        <f t="shared" ref="H28:H31" si="12">B28*0.095</f>
        <v>8237.1839999999993</v>
      </c>
      <c r="I28" s="139">
        <f t="shared" ref="I28:I33" si="13">SUM(B28:H28)</f>
        <v>112554.22330207999</v>
      </c>
      <c r="J28" s="1070"/>
    </row>
    <row r="29" spans="1:13" ht="18" customHeight="1" x14ac:dyDescent="0.2">
      <c r="A29" s="334" t="s">
        <v>302</v>
      </c>
      <c r="B29" s="333">
        <v>69769.600000000006</v>
      </c>
      <c r="C29" s="333">
        <f t="shared" ref="C29" si="14">B29*0.0765</f>
        <v>5337.3744000000006</v>
      </c>
      <c r="D29" s="333">
        <v>120</v>
      </c>
      <c r="E29" s="333">
        <f t="shared" si="11"/>
        <v>354.87609344000003</v>
      </c>
      <c r="F29" s="333">
        <v>1455.671</v>
      </c>
      <c r="G29" s="333">
        <v>8960.0400000000009</v>
      </c>
      <c r="H29" s="333">
        <f t="shared" si="12"/>
        <v>6628.112000000001</v>
      </c>
      <c r="I29" s="137">
        <f t="shared" ref="I29" si="15">SUM(B29:H29)</f>
        <v>92625.673493440001</v>
      </c>
      <c r="J29" s="1070"/>
      <c r="M29" s="327"/>
    </row>
    <row r="30" spans="1:13" ht="18" customHeight="1" x14ac:dyDescent="0.2">
      <c r="A30" s="334" t="s">
        <v>230</v>
      </c>
      <c r="B30" s="333">
        <v>49276</v>
      </c>
      <c r="C30" s="333">
        <f t="shared" si="3"/>
        <v>3769.614</v>
      </c>
      <c r="D30" s="333">
        <v>120</v>
      </c>
      <c r="E30" s="333">
        <f t="shared" si="11"/>
        <v>250.63744640000002</v>
      </c>
      <c r="F30" s="333">
        <v>1118.961</v>
      </c>
      <c r="G30" s="333">
        <v>4777.76</v>
      </c>
      <c r="H30" s="333">
        <f t="shared" si="12"/>
        <v>4681.22</v>
      </c>
      <c r="I30" s="137">
        <f t="shared" si="13"/>
        <v>63994.192446400004</v>
      </c>
      <c r="J30" s="1070"/>
    </row>
    <row r="31" spans="1:13" ht="18" customHeight="1" x14ac:dyDescent="0.2">
      <c r="A31" s="335" t="s">
        <v>220</v>
      </c>
      <c r="B31" s="336">
        <v>37107</v>
      </c>
      <c r="C31" s="336">
        <f t="shared" si="3"/>
        <v>2838.6855</v>
      </c>
      <c r="D31" s="336">
        <v>119.9</v>
      </c>
      <c r="E31" s="336">
        <f t="shared" si="11"/>
        <v>188.7410448</v>
      </c>
      <c r="F31" s="336">
        <v>1455.671</v>
      </c>
      <c r="G31" s="336">
        <v>4777.76</v>
      </c>
      <c r="H31" s="336">
        <f t="shared" si="12"/>
        <v>3525.165</v>
      </c>
      <c r="I31" s="138">
        <f t="shared" si="13"/>
        <v>50012.922544800007</v>
      </c>
      <c r="J31" s="1070"/>
    </row>
    <row r="32" spans="1:13" ht="18" customHeight="1" x14ac:dyDescent="0.2">
      <c r="A32" s="331" t="s">
        <v>360</v>
      </c>
      <c r="B32" s="332">
        <v>7721</v>
      </c>
      <c r="C32" s="332">
        <f t="shared" ref="C32" si="16">B32*0.0765</f>
        <v>590.65649999999994</v>
      </c>
      <c r="D32" s="332">
        <v>60</v>
      </c>
      <c r="E32" s="332">
        <f t="shared" si="11"/>
        <v>39.272094400000007</v>
      </c>
      <c r="F32" s="332">
        <v>650.21119999999996</v>
      </c>
      <c r="G32" s="338"/>
      <c r="H32" s="338"/>
      <c r="I32" s="139">
        <f t="shared" ref="I32" si="17">SUM(B32:H32)</f>
        <v>9061.1397943999982</v>
      </c>
      <c r="J32" s="1070"/>
    </row>
    <row r="33" spans="1:12" ht="18" customHeight="1" x14ac:dyDescent="0.2">
      <c r="A33" s="334" t="s">
        <v>359</v>
      </c>
      <c r="B33" s="333">
        <v>3469</v>
      </c>
      <c r="C33" s="333">
        <f t="shared" si="3"/>
        <v>265.37849999999997</v>
      </c>
      <c r="D33" s="333">
        <v>50</v>
      </c>
      <c r="E33" s="333">
        <f t="shared" si="11"/>
        <v>17.6447216</v>
      </c>
      <c r="F33" s="333">
        <v>650.21119999999996</v>
      </c>
      <c r="G33" s="340"/>
      <c r="H33" s="340"/>
      <c r="I33" s="137">
        <f t="shared" si="13"/>
        <v>4452.2344216000001</v>
      </c>
      <c r="J33" s="1070"/>
    </row>
    <row r="34" spans="1:12" ht="18" customHeight="1" x14ac:dyDescent="0.2">
      <c r="A34" s="334" t="s">
        <v>358</v>
      </c>
      <c r="B34" s="333">
        <v>17372</v>
      </c>
      <c r="C34" s="333">
        <f>B34*0.0765</f>
        <v>1328.9580000000001</v>
      </c>
      <c r="D34" s="333">
        <v>70</v>
      </c>
      <c r="E34" s="333">
        <f t="shared" si="11"/>
        <v>88.360940800000009</v>
      </c>
      <c r="F34" s="333">
        <v>650.21119999999996</v>
      </c>
      <c r="G34" s="340"/>
      <c r="H34" s="340"/>
      <c r="I34" s="137">
        <f>SUM(B34:H34)</f>
        <v>19509.530140800001</v>
      </c>
      <c r="J34" s="1070"/>
    </row>
    <row r="35" spans="1:12" ht="15.75" customHeight="1" x14ac:dyDescent="0.25">
      <c r="A35" s="367" t="s">
        <v>365</v>
      </c>
      <c r="B35" s="332">
        <v>-3856.11</v>
      </c>
      <c r="C35" s="332">
        <f t="shared" si="3"/>
        <v>-294.99241499999999</v>
      </c>
      <c r="D35" s="332"/>
      <c r="E35" s="332">
        <v>-148.66</v>
      </c>
      <c r="F35" s="332"/>
      <c r="G35" s="353">
        <v>1233.76</v>
      </c>
      <c r="H35" s="332">
        <v>-366.36</v>
      </c>
      <c r="I35" s="139">
        <f>SUM(B35:H35)</f>
        <v>-3432.3624150000001</v>
      </c>
      <c r="J35" s="1070"/>
      <c r="L35" s="327"/>
    </row>
    <row r="36" spans="1:12" ht="16.5" customHeight="1" x14ac:dyDescent="0.2">
      <c r="A36" s="366" t="s">
        <v>361</v>
      </c>
      <c r="B36" s="354"/>
      <c r="C36" s="354"/>
      <c r="D36" s="354"/>
      <c r="E36" s="354">
        <v>-8383</v>
      </c>
      <c r="F36" s="354"/>
      <c r="G36" s="355">
        <v>-14771.84</v>
      </c>
      <c r="H36" s="355"/>
      <c r="I36" s="138">
        <f>SUM(B36:H36)</f>
        <v>-23154.84</v>
      </c>
      <c r="J36" s="1070"/>
    </row>
    <row r="37" spans="1:12" ht="18" customHeight="1" thickBot="1" x14ac:dyDescent="0.25">
      <c r="A37" s="341"/>
      <c r="B37" s="365">
        <f>SUM(B2:B36)</f>
        <v>1673766.0899999999</v>
      </c>
      <c r="C37" s="364">
        <f t="shared" ref="C37:H37" si="18">SUM(C2:C36)</f>
        <v>128043.105885</v>
      </c>
      <c r="D37" s="364">
        <f t="shared" si="18"/>
        <v>4510</v>
      </c>
      <c r="E37" s="365">
        <f t="shared" si="18"/>
        <v>47945.713001439981</v>
      </c>
      <c r="F37" s="364">
        <f t="shared" si="18"/>
        <v>49251.170799999978</v>
      </c>
      <c r="G37" s="364">
        <f t="shared" si="18"/>
        <v>188738.84000000005</v>
      </c>
      <c r="H37" s="365">
        <f t="shared" si="18"/>
        <v>154762.57900000003</v>
      </c>
      <c r="I37" s="364">
        <f>SUM(I2:I36)</f>
        <v>2247017.4986864403</v>
      </c>
      <c r="J37" s="1070"/>
    </row>
    <row r="38" spans="1:12" ht="14.25" customHeight="1" thickTop="1" x14ac:dyDescent="0.2">
      <c r="A38" s="254" t="s">
        <v>370</v>
      </c>
      <c r="B38" s="254"/>
      <c r="C38" s="1067">
        <f>SUM(C37:H37)</f>
        <v>573251.40868644009</v>
      </c>
      <c r="D38" s="1068"/>
      <c r="E38" s="1068"/>
      <c r="F38" s="1068"/>
      <c r="G38" s="1068"/>
      <c r="H38" s="1069"/>
      <c r="I38" s="254"/>
      <c r="J38" s="1070"/>
    </row>
    <row r="39" spans="1:12" ht="13.5" customHeight="1" x14ac:dyDescent="0.2">
      <c r="A39" s="20" t="s">
        <v>356</v>
      </c>
      <c r="B39" s="90"/>
      <c r="C39" s="90"/>
      <c r="D39" s="90"/>
      <c r="E39" s="90"/>
      <c r="F39" s="90"/>
      <c r="G39" s="90"/>
      <c r="H39" s="90"/>
    </row>
  </sheetData>
  <mergeCells count="2">
    <mergeCell ref="C38:H38"/>
    <mergeCell ref="J1:J38"/>
  </mergeCells>
  <phoneticPr fontId="20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E2"/>
    </sheetView>
  </sheetViews>
  <sheetFormatPr defaultRowHeight="12.75" x14ac:dyDescent="0.2"/>
  <cols>
    <col min="1" max="1" width="6.28515625" customWidth="1"/>
    <col min="2" max="2" width="11.28515625" hidden="1" customWidth="1"/>
    <col min="3" max="3" width="11.28515625" customWidth="1"/>
    <col min="4" max="4" width="11.28515625" style="325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3">
      <c r="A1" s="1071" t="s">
        <v>565</v>
      </c>
      <c r="B1" s="1071"/>
      <c r="C1" s="1071"/>
      <c r="D1" s="1071"/>
      <c r="E1" s="1071"/>
      <c r="F1" s="616"/>
      <c r="G1" s="616"/>
    </row>
    <row r="2" spans="1:7" ht="20.100000000000001" customHeight="1" thickBot="1" x14ac:dyDescent="0.25">
      <c r="A2" s="1072"/>
      <c r="B2" s="1072"/>
      <c r="C2" s="1072"/>
      <c r="D2" s="1072"/>
      <c r="E2" s="1072"/>
      <c r="F2" s="22"/>
      <c r="G2" s="22"/>
    </row>
    <row r="3" spans="1:7" ht="20.100000000000001" customHeight="1" x14ac:dyDescent="0.2">
      <c r="A3" s="1075" t="s">
        <v>150</v>
      </c>
      <c r="B3" s="620" t="s">
        <v>579</v>
      </c>
      <c r="C3" s="620" t="s">
        <v>617</v>
      </c>
      <c r="D3" s="558" t="s">
        <v>665</v>
      </c>
      <c r="E3" s="558" t="s">
        <v>812</v>
      </c>
    </row>
    <row r="4" spans="1:7" ht="20.100000000000001" customHeight="1" x14ac:dyDescent="0.25">
      <c r="A4" s="1074"/>
      <c r="B4" s="560">
        <v>16.64</v>
      </c>
      <c r="C4" s="560">
        <v>17.12</v>
      </c>
      <c r="D4" s="560">
        <v>17.43</v>
      </c>
      <c r="E4" s="560">
        <f>'642 PAYROLL'!M18</f>
        <v>19.5</v>
      </c>
      <c r="F4" s="18"/>
      <c r="G4" s="17"/>
    </row>
    <row r="5" spans="1:7" ht="20.100000000000001" customHeight="1" x14ac:dyDescent="0.2">
      <c r="A5" s="618"/>
      <c r="B5" s="563"/>
      <c r="C5" s="563"/>
      <c r="D5" s="562"/>
      <c r="E5" s="562"/>
      <c r="F5" s="15"/>
      <c r="G5" s="15"/>
    </row>
    <row r="6" spans="1:7" ht="20.100000000000001" customHeight="1" x14ac:dyDescent="0.2">
      <c r="A6" s="1075" t="s">
        <v>150</v>
      </c>
      <c r="B6" s="619" t="s">
        <v>580</v>
      </c>
      <c r="C6" s="619" t="s">
        <v>618</v>
      </c>
      <c r="D6" s="559" t="s">
        <v>666</v>
      </c>
      <c r="E6" s="559" t="s">
        <v>813</v>
      </c>
      <c r="G6" s="15"/>
    </row>
    <row r="7" spans="1:7" ht="20.100000000000001" customHeight="1" x14ac:dyDescent="0.2">
      <c r="A7" s="1074"/>
      <c r="B7" s="560">
        <v>18.91</v>
      </c>
      <c r="C7" s="560">
        <v>21.01</v>
      </c>
      <c r="D7" s="560">
        <v>21.39</v>
      </c>
      <c r="E7" s="560">
        <f>'642 PAYROLL'!M13</f>
        <v>22.2456</v>
      </c>
      <c r="G7" s="15"/>
    </row>
    <row r="8" spans="1:7" ht="20.100000000000001" customHeight="1" x14ac:dyDescent="0.2">
      <c r="A8" s="618"/>
      <c r="B8" s="563"/>
      <c r="C8" s="563"/>
      <c r="D8" s="562"/>
      <c r="E8" s="562"/>
      <c r="G8" s="15"/>
    </row>
    <row r="9" spans="1:7" ht="20.100000000000001" customHeight="1" x14ac:dyDescent="0.2">
      <c r="A9" s="1075" t="s">
        <v>150</v>
      </c>
      <c r="B9" s="619" t="s">
        <v>581</v>
      </c>
      <c r="C9" s="619" t="s">
        <v>619</v>
      </c>
      <c r="D9" s="559" t="s">
        <v>667</v>
      </c>
      <c r="E9" s="559" t="s">
        <v>814</v>
      </c>
      <c r="G9" s="15"/>
    </row>
    <row r="10" spans="1:7" ht="20.100000000000001" customHeight="1" x14ac:dyDescent="0.2">
      <c r="A10" s="1074"/>
      <c r="B10" s="560">
        <v>21.34</v>
      </c>
      <c r="C10" s="560">
        <v>24.64</v>
      </c>
      <c r="D10" s="560">
        <v>25.08</v>
      </c>
      <c r="E10" s="560">
        <f>'642 PAYROLL'!M9</f>
        <v>26.083199999999998</v>
      </c>
      <c r="G10" s="15"/>
    </row>
    <row r="11" spans="1:7" ht="20.100000000000001" customHeight="1" x14ac:dyDescent="0.2">
      <c r="A11" s="618"/>
      <c r="B11" s="563"/>
      <c r="C11" s="563"/>
      <c r="D11" s="562"/>
      <c r="E11" s="562"/>
    </row>
    <row r="12" spans="1:7" ht="20.100000000000001" customHeight="1" x14ac:dyDescent="0.2">
      <c r="A12" s="1075" t="s">
        <v>150</v>
      </c>
      <c r="B12" s="619" t="s">
        <v>582</v>
      </c>
      <c r="C12" s="619" t="s">
        <v>620</v>
      </c>
      <c r="D12" s="559" t="s">
        <v>668</v>
      </c>
      <c r="E12" s="559" t="s">
        <v>815</v>
      </c>
    </row>
    <row r="13" spans="1:7" ht="20.100000000000001" customHeight="1" x14ac:dyDescent="0.2">
      <c r="A13" s="1074"/>
      <c r="B13" s="560">
        <v>22.15</v>
      </c>
      <c r="C13" s="560">
        <v>27.15</v>
      </c>
      <c r="D13" s="560">
        <v>27.64</v>
      </c>
      <c r="E13" s="560">
        <f>'642 PAYROLL'!M6</f>
        <v>28.745600000000003</v>
      </c>
    </row>
    <row r="14" spans="1:7" ht="20.100000000000001" customHeight="1" x14ac:dyDescent="0.2">
      <c r="A14" s="903"/>
      <c r="B14" s="563"/>
      <c r="C14" s="563"/>
      <c r="D14" s="562"/>
      <c r="E14" s="562"/>
    </row>
    <row r="15" spans="1:7" ht="20.100000000000001" customHeight="1" x14ac:dyDescent="0.2">
      <c r="A15" s="1073" t="s">
        <v>150</v>
      </c>
      <c r="B15" s="902" t="s">
        <v>612</v>
      </c>
      <c r="C15" s="902" t="s">
        <v>621</v>
      </c>
      <c r="D15" s="901" t="s">
        <v>669</v>
      </c>
      <c r="E15" s="901" t="s">
        <v>816</v>
      </c>
    </row>
    <row r="16" spans="1:7" ht="20.100000000000001" customHeight="1" x14ac:dyDescent="0.2">
      <c r="A16" s="1074"/>
      <c r="B16" s="560">
        <v>28.08</v>
      </c>
      <c r="C16" s="560">
        <v>28.89</v>
      </c>
      <c r="D16" s="560">
        <v>29.41</v>
      </c>
      <c r="E16" s="560">
        <f>'642 PAYROLL'!M3</f>
        <v>30.586400000000001</v>
      </c>
    </row>
    <row r="17" spans="1:5" ht="20.100000000000001" customHeight="1" thickBot="1" x14ac:dyDescent="0.25">
      <c r="A17" s="617"/>
      <c r="B17" s="564"/>
      <c r="C17" s="564"/>
      <c r="D17" s="564"/>
      <c r="E17" s="561"/>
    </row>
    <row r="18" spans="1:5" ht="20.100000000000001" customHeight="1" x14ac:dyDescent="0.2"/>
    <row r="19" spans="1:5" ht="20.100000000000001" customHeight="1" x14ac:dyDescent="0.2"/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  <row r="24" spans="1:5" ht="20.100000000000001" customHeight="1" x14ac:dyDescent="0.2"/>
    <row r="25" spans="1:5" ht="20.100000000000001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</sheetData>
  <mergeCells count="6">
    <mergeCell ref="A1:E2"/>
    <mergeCell ref="A15:A16"/>
    <mergeCell ref="A6:A7"/>
    <mergeCell ref="A9:A10"/>
    <mergeCell ref="A12:A13"/>
    <mergeCell ref="A3:A4"/>
  </mergeCells>
  <phoneticPr fontId="20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1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8" customWidth="1"/>
    <col min="4" max="13" width="11.7109375" customWidth="1"/>
    <col min="14" max="23" width="10" customWidth="1"/>
  </cols>
  <sheetData>
    <row r="1" spans="1:56" ht="30" customHeight="1" x14ac:dyDescent="0.2">
      <c r="A1" s="1076" t="s">
        <v>817</v>
      </c>
      <c r="B1" s="1076"/>
      <c r="C1" s="1076"/>
      <c r="D1" s="1076"/>
      <c r="E1" s="1076"/>
      <c r="F1" s="1076"/>
      <c r="G1" s="1076"/>
      <c r="H1" s="1076"/>
      <c r="I1" s="1076"/>
      <c r="J1" s="1076"/>
      <c r="K1" s="1076"/>
      <c r="L1" s="1076"/>
      <c r="M1" s="1076"/>
      <c r="N1" s="140"/>
      <c r="O1" s="140"/>
      <c r="P1" s="140"/>
    </row>
    <row r="2" spans="1:56" ht="9.75" customHeight="1" x14ac:dyDescent="0.2">
      <c r="A2" s="141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56" ht="23.25" customHeight="1" x14ac:dyDescent="0.25">
      <c r="A3" s="1077" t="s">
        <v>38</v>
      </c>
      <c r="B3" s="1078"/>
      <c r="C3" s="1078"/>
      <c r="D3" s="576" t="s">
        <v>228</v>
      </c>
      <c r="E3" s="577">
        <f>'642 PAYROLL'!M18</f>
        <v>19.5</v>
      </c>
      <c r="F3" s="576" t="s">
        <v>544</v>
      </c>
      <c r="G3" s="577">
        <f>'642 PAYROLL'!M13</f>
        <v>22.2456</v>
      </c>
      <c r="H3" s="576" t="s">
        <v>226</v>
      </c>
      <c r="I3" s="577">
        <f>'642 PAYROLL'!M9</f>
        <v>26.083199999999998</v>
      </c>
      <c r="J3" s="576" t="s">
        <v>225</v>
      </c>
      <c r="K3" s="577">
        <f>'642 PAYROLL'!M6</f>
        <v>28.745600000000003</v>
      </c>
      <c r="L3" s="576" t="s">
        <v>611</v>
      </c>
      <c r="M3" s="577">
        <f>'642 PAYROLL'!M3</f>
        <v>30.586400000000001</v>
      </c>
      <c r="O3" s="140"/>
      <c r="P3" s="140"/>
    </row>
    <row r="4" spans="1:56" ht="9.75" customHeight="1" x14ac:dyDescent="0.2">
      <c r="A4" s="141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56" ht="13.5" thickBot="1" x14ac:dyDescent="0.25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 x14ac:dyDescent="0.2">
      <c r="A6" s="144" t="s">
        <v>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6"/>
      <c r="M6" s="147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 x14ac:dyDescent="0.2">
      <c r="A7" s="148"/>
      <c r="B7" s="149"/>
      <c r="C7" s="150" t="s">
        <v>309</v>
      </c>
      <c r="D7" s="151">
        <v>1</v>
      </c>
      <c r="E7" s="151">
        <v>2</v>
      </c>
      <c r="F7" s="151">
        <v>3</v>
      </c>
      <c r="G7" s="151">
        <v>4</v>
      </c>
      <c r="H7" s="151">
        <v>5</v>
      </c>
      <c r="I7" s="151">
        <v>6</v>
      </c>
      <c r="J7" s="151">
        <v>7</v>
      </c>
      <c r="K7" s="151">
        <v>8</v>
      </c>
      <c r="L7" s="615">
        <v>9</v>
      </c>
      <c r="M7" s="152">
        <v>10</v>
      </c>
    </row>
    <row r="8" spans="1:56" ht="19.5" customHeight="1" x14ac:dyDescent="0.2">
      <c r="A8" s="148"/>
      <c r="B8" s="153" t="s">
        <v>40</v>
      </c>
      <c r="C8" s="154"/>
      <c r="D8" s="155"/>
      <c r="E8" s="156"/>
      <c r="F8" s="156"/>
      <c r="G8" s="156"/>
      <c r="H8" s="156"/>
      <c r="I8" s="156"/>
      <c r="J8" s="156"/>
      <c r="K8" s="156"/>
      <c r="L8" s="156"/>
      <c r="M8" s="157"/>
    </row>
    <row r="9" spans="1:56" ht="19.5" customHeight="1" x14ac:dyDescent="0.2">
      <c r="A9" s="148"/>
      <c r="B9" s="149"/>
      <c r="C9" s="158" t="s">
        <v>41</v>
      </c>
      <c r="D9" s="159">
        <v>0.25</v>
      </c>
      <c r="E9" s="159">
        <v>0.25</v>
      </c>
      <c r="F9" s="159">
        <v>0.25</v>
      </c>
      <c r="G9" s="159">
        <v>0.25</v>
      </c>
      <c r="H9" s="159">
        <v>0.25</v>
      </c>
      <c r="I9" s="159">
        <v>0.25</v>
      </c>
      <c r="J9" s="159">
        <v>0.25</v>
      </c>
      <c r="K9" s="159">
        <v>0.25</v>
      </c>
      <c r="L9" s="159">
        <v>0.25</v>
      </c>
      <c r="M9" s="160">
        <v>0.25</v>
      </c>
    </row>
    <row r="10" spans="1:56" ht="19.5" customHeight="1" x14ac:dyDescent="0.2">
      <c r="A10" s="148"/>
      <c r="B10" s="149"/>
      <c r="C10" s="158" t="s">
        <v>42</v>
      </c>
      <c r="D10" s="159">
        <v>0.25</v>
      </c>
      <c r="E10" s="159">
        <f t="shared" ref="E10:M10" si="0">+D10+E9</f>
        <v>0.5</v>
      </c>
      <c r="F10" s="159">
        <f t="shared" si="0"/>
        <v>0.75</v>
      </c>
      <c r="G10" s="159">
        <f t="shared" si="0"/>
        <v>1</v>
      </c>
      <c r="H10" s="159">
        <f t="shared" si="0"/>
        <v>1.25</v>
      </c>
      <c r="I10" s="159">
        <f t="shared" si="0"/>
        <v>1.5</v>
      </c>
      <c r="J10" s="159">
        <f t="shared" si="0"/>
        <v>1.75</v>
      </c>
      <c r="K10" s="159">
        <f t="shared" si="0"/>
        <v>2</v>
      </c>
      <c r="L10" s="159">
        <f t="shared" si="0"/>
        <v>2.25</v>
      </c>
      <c r="M10" s="160">
        <f t="shared" si="0"/>
        <v>2.5</v>
      </c>
    </row>
    <row r="12" spans="1:56" ht="13.5" thickBot="1" x14ac:dyDescent="0.25"/>
    <row r="13" spans="1:56" ht="19.5" customHeight="1" x14ac:dyDescent="0.2">
      <c r="A13" s="144" t="s">
        <v>39</v>
      </c>
      <c r="B13" s="145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7"/>
    </row>
    <row r="14" spans="1:56" ht="19.5" customHeight="1" x14ac:dyDescent="0.2">
      <c r="A14" s="148"/>
      <c r="B14" s="149"/>
      <c r="C14" s="150" t="s">
        <v>309</v>
      </c>
      <c r="D14" s="151">
        <v>11</v>
      </c>
      <c r="E14" s="151">
        <v>12</v>
      </c>
      <c r="F14" s="151">
        <v>13</v>
      </c>
      <c r="G14" s="151">
        <v>14</v>
      </c>
      <c r="H14" s="151">
        <v>15</v>
      </c>
      <c r="I14" s="151">
        <v>16</v>
      </c>
      <c r="J14" s="151">
        <v>17</v>
      </c>
      <c r="K14" s="151">
        <v>18</v>
      </c>
      <c r="L14" s="615">
        <v>19</v>
      </c>
      <c r="M14" s="152">
        <v>20</v>
      </c>
    </row>
    <row r="15" spans="1:56" ht="19.5" customHeight="1" x14ac:dyDescent="0.2">
      <c r="A15" s="148"/>
      <c r="B15" s="153" t="s">
        <v>40</v>
      </c>
      <c r="C15" s="153"/>
      <c r="D15" s="156"/>
      <c r="E15" s="161"/>
      <c r="F15" s="156"/>
      <c r="G15" s="156"/>
      <c r="H15" s="156"/>
      <c r="I15" s="156"/>
      <c r="J15" s="156"/>
      <c r="K15" s="156"/>
      <c r="L15" s="156"/>
      <c r="M15" s="157"/>
    </row>
    <row r="16" spans="1:56" ht="19.5" customHeight="1" x14ac:dyDescent="0.2">
      <c r="A16" s="148"/>
      <c r="B16" s="149"/>
      <c r="C16" s="158" t="s">
        <v>41</v>
      </c>
      <c r="D16" s="159">
        <v>0.25</v>
      </c>
      <c r="E16" s="159">
        <v>0.25</v>
      </c>
      <c r="F16" s="159">
        <v>0.25</v>
      </c>
      <c r="G16" s="159">
        <v>0.25</v>
      </c>
      <c r="H16" s="159">
        <v>0.25</v>
      </c>
      <c r="I16" s="159">
        <v>0.25</v>
      </c>
      <c r="J16" s="159">
        <v>0.25</v>
      </c>
      <c r="K16" s="159">
        <v>0.25</v>
      </c>
      <c r="L16" s="159">
        <v>0.25</v>
      </c>
      <c r="M16" s="160">
        <v>0.25</v>
      </c>
    </row>
    <row r="17" spans="1:13" ht="19.5" customHeight="1" x14ac:dyDescent="0.2">
      <c r="A17" s="148"/>
      <c r="B17" s="149"/>
      <c r="C17" s="158" t="s">
        <v>42</v>
      </c>
      <c r="D17" s="159">
        <f>+M10+D16</f>
        <v>2.75</v>
      </c>
      <c r="E17" s="162">
        <f t="shared" ref="E17:M17" si="1">+D17+E16</f>
        <v>3</v>
      </c>
      <c r="F17" s="162">
        <f t="shared" si="1"/>
        <v>3.25</v>
      </c>
      <c r="G17" s="162">
        <f t="shared" si="1"/>
        <v>3.5</v>
      </c>
      <c r="H17" s="162">
        <f t="shared" si="1"/>
        <v>3.75</v>
      </c>
      <c r="I17" s="162">
        <f t="shared" si="1"/>
        <v>4</v>
      </c>
      <c r="J17" s="162">
        <f t="shared" si="1"/>
        <v>4.25</v>
      </c>
      <c r="K17" s="162">
        <f t="shared" si="1"/>
        <v>4.5</v>
      </c>
      <c r="L17" s="162">
        <f t="shared" si="1"/>
        <v>4.75</v>
      </c>
      <c r="M17" s="160">
        <f t="shared" si="1"/>
        <v>5</v>
      </c>
    </row>
    <row r="19" spans="1:13" ht="13.5" thickBot="1" x14ac:dyDescent="0.25"/>
    <row r="20" spans="1:13" ht="19.5" customHeight="1" x14ac:dyDescent="0.2">
      <c r="A20" s="144" t="s">
        <v>39</v>
      </c>
      <c r="B20" s="145"/>
      <c r="C20" s="145"/>
      <c r="D20" s="146"/>
      <c r="E20" s="146"/>
      <c r="F20" s="146"/>
      <c r="G20" s="146"/>
      <c r="H20" s="146"/>
      <c r="I20" s="146"/>
      <c r="J20" s="146"/>
      <c r="K20" s="146"/>
      <c r="L20" s="146"/>
      <c r="M20" s="147"/>
    </row>
    <row r="21" spans="1:13" ht="19.5" customHeight="1" x14ac:dyDescent="0.2">
      <c r="A21" s="148"/>
      <c r="B21" s="149"/>
      <c r="C21" s="150" t="s">
        <v>309</v>
      </c>
      <c r="D21" s="151">
        <v>21</v>
      </c>
      <c r="E21" s="151">
        <v>22</v>
      </c>
      <c r="F21" s="151">
        <v>23</v>
      </c>
      <c r="G21" s="151">
        <v>24</v>
      </c>
      <c r="H21" s="151">
        <v>25</v>
      </c>
      <c r="I21" s="151">
        <v>26</v>
      </c>
      <c r="J21" s="151">
        <v>27</v>
      </c>
      <c r="K21" s="151">
        <v>28</v>
      </c>
      <c r="L21" s="615">
        <v>29</v>
      </c>
      <c r="M21" s="152">
        <v>30</v>
      </c>
    </row>
    <row r="22" spans="1:13" ht="19.5" customHeight="1" x14ac:dyDescent="0.2">
      <c r="A22" s="148"/>
      <c r="B22" s="153" t="s">
        <v>40</v>
      </c>
      <c r="C22" s="153"/>
      <c r="D22" s="156"/>
      <c r="E22" s="161"/>
      <c r="F22" s="156"/>
      <c r="G22" s="156"/>
      <c r="H22" s="156"/>
      <c r="I22" s="156"/>
      <c r="J22" s="156"/>
      <c r="K22" s="156"/>
      <c r="L22" s="156"/>
      <c r="M22" s="157"/>
    </row>
    <row r="23" spans="1:13" ht="19.5" customHeight="1" x14ac:dyDescent="0.2">
      <c r="A23" s="148"/>
      <c r="B23" s="149"/>
      <c r="C23" s="158" t="s">
        <v>41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60">
        <v>0</v>
      </c>
    </row>
    <row r="24" spans="1:13" ht="19.5" customHeight="1" x14ac:dyDescent="0.2">
      <c r="A24" s="148"/>
      <c r="B24" s="149"/>
      <c r="C24" s="158" t="s">
        <v>42</v>
      </c>
      <c r="D24" s="159">
        <f>+M17+D23</f>
        <v>5</v>
      </c>
      <c r="E24" s="159">
        <f t="shared" ref="E24:L24" si="2">+D24+E23</f>
        <v>5</v>
      </c>
      <c r="F24" s="159">
        <f t="shared" si="2"/>
        <v>5</v>
      </c>
      <c r="G24" s="159">
        <f t="shared" si="2"/>
        <v>5</v>
      </c>
      <c r="H24" s="159">
        <f t="shared" si="2"/>
        <v>5</v>
      </c>
      <c r="I24" s="159">
        <f t="shared" si="2"/>
        <v>5</v>
      </c>
      <c r="J24" s="159">
        <f t="shared" si="2"/>
        <v>5</v>
      </c>
      <c r="K24" s="159">
        <f t="shared" si="2"/>
        <v>5</v>
      </c>
      <c r="L24" s="159">
        <f t="shared" si="2"/>
        <v>5</v>
      </c>
      <c r="M24" s="160">
        <f>+L24+M23</f>
        <v>5</v>
      </c>
    </row>
    <row r="26" spans="1:13" ht="13.5" thickBot="1" x14ac:dyDescent="0.25"/>
    <row r="27" spans="1:13" ht="19.5" customHeight="1" x14ac:dyDescent="0.2">
      <c r="A27" s="144" t="s">
        <v>39</v>
      </c>
      <c r="B27" s="145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1:13" ht="19.5" customHeight="1" x14ac:dyDescent="0.2">
      <c r="A28" s="148"/>
      <c r="B28" s="149"/>
      <c r="C28" s="150" t="s">
        <v>309</v>
      </c>
      <c r="D28" s="151">
        <v>31</v>
      </c>
      <c r="E28" s="151">
        <v>32</v>
      </c>
      <c r="F28" s="151">
        <v>33</v>
      </c>
      <c r="G28" s="151">
        <v>34</v>
      </c>
      <c r="H28" s="151">
        <v>35</v>
      </c>
      <c r="I28" s="151">
        <v>36</v>
      </c>
      <c r="J28" s="151">
        <v>37</v>
      </c>
      <c r="K28" s="151">
        <v>38</v>
      </c>
      <c r="L28" s="615">
        <v>39</v>
      </c>
      <c r="M28" s="152">
        <v>40</v>
      </c>
    </row>
    <row r="29" spans="1:13" ht="19.5" customHeight="1" x14ac:dyDescent="0.2">
      <c r="A29" s="148"/>
      <c r="B29" s="153" t="s">
        <v>40</v>
      </c>
      <c r="C29" s="153"/>
      <c r="D29" s="156"/>
      <c r="E29" s="161"/>
      <c r="F29" s="156"/>
      <c r="G29" s="156"/>
      <c r="H29" s="156"/>
      <c r="I29" s="156"/>
      <c r="J29" s="156"/>
      <c r="K29" s="156"/>
      <c r="L29" s="156"/>
      <c r="M29" s="157"/>
    </row>
    <row r="30" spans="1:13" ht="19.5" customHeight="1" x14ac:dyDescent="0.2">
      <c r="A30" s="148"/>
      <c r="B30" s="149"/>
      <c r="C30" s="158" t="s">
        <v>41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60">
        <v>0</v>
      </c>
    </row>
    <row r="31" spans="1:13" ht="19.5" customHeight="1" x14ac:dyDescent="0.2">
      <c r="A31" s="148"/>
      <c r="B31" s="149"/>
      <c r="C31" s="158" t="s">
        <v>42</v>
      </c>
      <c r="D31" s="159">
        <f>+M24+D30</f>
        <v>5</v>
      </c>
      <c r="E31" s="159">
        <f t="shared" ref="E31:M31" si="3">+D31+E30</f>
        <v>5</v>
      </c>
      <c r="F31" s="159">
        <f t="shared" si="3"/>
        <v>5</v>
      </c>
      <c r="G31" s="159">
        <f t="shared" si="3"/>
        <v>5</v>
      </c>
      <c r="H31" s="159">
        <f t="shared" si="3"/>
        <v>5</v>
      </c>
      <c r="I31" s="159">
        <f t="shared" si="3"/>
        <v>5</v>
      </c>
      <c r="J31" s="159">
        <f t="shared" si="3"/>
        <v>5</v>
      </c>
      <c r="K31" s="159">
        <f t="shared" si="3"/>
        <v>5</v>
      </c>
      <c r="L31" s="159">
        <f t="shared" si="3"/>
        <v>5</v>
      </c>
      <c r="M31" s="160">
        <f t="shared" si="3"/>
        <v>5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Normal="100" workbookViewId="0"/>
  </sheetViews>
  <sheetFormatPr defaultColWidth="10.42578125" defaultRowHeight="12.75" x14ac:dyDescent="0.2"/>
  <cols>
    <col min="1" max="1" width="28.140625" style="164" bestFit="1" customWidth="1"/>
    <col min="2" max="2" width="21.140625" style="164" bestFit="1" customWidth="1"/>
    <col min="3" max="3" width="23.28515625" style="164" bestFit="1" customWidth="1"/>
    <col min="4" max="16" width="9.42578125" style="164" customWidth="1"/>
    <col min="17" max="16384" width="10.42578125" style="164"/>
  </cols>
  <sheetData>
    <row r="1" spans="1:18" x14ac:dyDescent="0.2">
      <c r="C1" s="165"/>
      <c r="D1" s="165"/>
      <c r="E1" s="165"/>
      <c r="F1" s="165"/>
      <c r="G1" s="165"/>
      <c r="H1" s="165"/>
      <c r="I1" s="165"/>
      <c r="J1" s="166"/>
      <c r="K1" s="165"/>
      <c r="L1" s="165"/>
      <c r="M1" s="165"/>
      <c r="N1" s="165"/>
      <c r="O1" s="167"/>
      <c r="P1" s="168"/>
      <c r="Q1" s="165"/>
      <c r="R1" s="165"/>
    </row>
    <row r="2" spans="1:18" s="172" customFormat="1" ht="24.95" customHeight="1" x14ac:dyDescent="0.25">
      <c r="A2" s="613" t="s">
        <v>24</v>
      </c>
      <c r="B2" s="613" t="s">
        <v>626</v>
      </c>
      <c r="C2" s="613" t="s">
        <v>627</v>
      </c>
      <c r="D2"/>
      <c r="E2"/>
      <c r="F2"/>
      <c r="G2" s="169"/>
      <c r="H2" s="169"/>
      <c r="I2" s="169"/>
      <c r="J2" s="169"/>
      <c r="K2" s="169"/>
      <c r="L2" s="169"/>
      <c r="M2" s="169"/>
      <c r="N2" s="169"/>
      <c r="O2" s="170"/>
      <c r="P2" s="171"/>
      <c r="Q2" s="170"/>
      <c r="R2" s="169"/>
    </row>
    <row r="3" spans="1:18" ht="24.75" customHeight="1" x14ac:dyDescent="0.2">
      <c r="A3" s="614" t="s">
        <v>25</v>
      </c>
      <c r="B3" s="626">
        <f>(50*12)/2756</f>
        <v>0.21770682148040638</v>
      </c>
      <c r="C3" s="626">
        <f>(50*12)/2080</f>
        <v>0.28846153846153844</v>
      </c>
      <c r="D3"/>
      <c r="E3"/>
      <c r="F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65"/>
    </row>
    <row r="4" spans="1:18" ht="24.95" hidden="1" customHeight="1" x14ac:dyDescent="0.2">
      <c r="A4" s="614" t="s">
        <v>26</v>
      </c>
      <c r="B4" s="626">
        <v>50</v>
      </c>
      <c r="C4" s="626">
        <v>51</v>
      </c>
      <c r="D4"/>
      <c r="E4"/>
      <c r="F4"/>
      <c r="G4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165"/>
    </row>
    <row r="5" spans="1:18" ht="24.95" customHeight="1" x14ac:dyDescent="0.2">
      <c r="A5" s="614" t="s">
        <v>622</v>
      </c>
      <c r="B5" s="626">
        <f>(50*12)/2756</f>
        <v>0.21770682148040638</v>
      </c>
      <c r="C5" s="626">
        <f>(50*12)/2080</f>
        <v>0.28846153846153844</v>
      </c>
      <c r="D5"/>
      <c r="E5"/>
      <c r="F5" s="625"/>
      <c r="G5" s="625"/>
      <c r="H5" s="173"/>
      <c r="I5" s="173"/>
      <c r="J5" s="173"/>
      <c r="K5" s="173"/>
      <c r="L5" s="173"/>
      <c r="M5" s="173"/>
      <c r="N5" s="173"/>
      <c r="O5" s="173"/>
      <c r="P5" s="173"/>
      <c r="Q5" s="174"/>
      <c r="R5" s="165"/>
    </row>
    <row r="6" spans="1:18" ht="24.95" customHeight="1" x14ac:dyDescent="0.2">
      <c r="A6" s="614" t="s">
        <v>623</v>
      </c>
      <c r="B6" s="626">
        <f>(70*12)/2756</f>
        <v>0.30478955007256892</v>
      </c>
      <c r="C6" s="626">
        <f>(70*12)/2080</f>
        <v>0.40384615384615385</v>
      </c>
      <c r="D6"/>
      <c r="E6"/>
      <c r="F6" s="625"/>
      <c r="G6" s="625"/>
      <c r="H6" s="173"/>
      <c r="I6" s="173"/>
      <c r="J6" s="173"/>
      <c r="K6" s="173"/>
      <c r="L6" s="173"/>
      <c r="M6" s="173"/>
      <c r="N6" s="173"/>
      <c r="O6" s="173"/>
      <c r="P6" s="173"/>
      <c r="Q6" s="174"/>
      <c r="R6" s="165"/>
    </row>
    <row r="7" spans="1:18" ht="24.95" customHeight="1" x14ac:dyDescent="0.2">
      <c r="A7" s="614" t="s">
        <v>624</v>
      </c>
      <c r="B7" s="626">
        <f>(90*12)/2756</f>
        <v>0.39187227866473151</v>
      </c>
      <c r="C7" s="626">
        <f>(90*12)/2080</f>
        <v>0.51923076923076927</v>
      </c>
      <c r="D7"/>
      <c r="E7"/>
      <c r="F7" s="625"/>
      <c r="G7" s="625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165"/>
    </row>
    <row r="8" spans="1:18" ht="24.95" customHeight="1" x14ac:dyDescent="0.2">
      <c r="A8" s="614" t="s">
        <v>657</v>
      </c>
      <c r="B8" s="626">
        <f>(110*12)/2756</f>
        <v>0.47895500725689405</v>
      </c>
      <c r="C8" s="626">
        <f>(110*12)/2080</f>
        <v>0.63461538461538458</v>
      </c>
      <c r="D8"/>
      <c r="E8"/>
      <c r="F8" s="625"/>
      <c r="G8" s="625"/>
      <c r="H8" s="173"/>
      <c r="I8" s="173"/>
      <c r="J8" s="173"/>
      <c r="K8" s="173"/>
      <c r="L8" s="173"/>
      <c r="M8" s="173"/>
      <c r="N8" s="173"/>
      <c r="O8" s="173"/>
      <c r="P8" s="173"/>
      <c r="Q8" s="174"/>
      <c r="R8" s="165"/>
    </row>
    <row r="9" spans="1:18" ht="24.95" customHeight="1" x14ac:dyDescent="0.2">
      <c r="A9" s="614" t="s">
        <v>632</v>
      </c>
      <c r="B9" s="626">
        <f>(130*12)/2756</f>
        <v>0.56603773584905659</v>
      </c>
      <c r="C9" s="626">
        <f>(130*12)/2080</f>
        <v>0.75</v>
      </c>
      <c r="D9"/>
      <c r="E9"/>
      <c r="F9" s="625"/>
      <c r="G9" s="625"/>
      <c r="H9" s="173"/>
      <c r="I9" s="173"/>
      <c r="J9" s="173"/>
      <c r="K9" s="173"/>
      <c r="L9" s="173"/>
      <c r="M9" s="173"/>
      <c r="N9" s="173"/>
      <c r="O9" s="173"/>
      <c r="P9" s="173"/>
      <c r="Q9" s="174"/>
      <c r="R9" s="165"/>
    </row>
    <row r="10" spans="1:18" ht="24.95" customHeight="1" x14ac:dyDescent="0.2">
      <c r="A10" s="614" t="s">
        <v>625</v>
      </c>
      <c r="B10" s="626">
        <v>0.66</v>
      </c>
      <c r="C10" s="626">
        <v>0.87</v>
      </c>
      <c r="D10"/>
      <c r="E10"/>
      <c r="F10" s="625"/>
      <c r="G10" s="625"/>
      <c r="H10" s="173"/>
      <c r="I10" s="173"/>
      <c r="J10" s="173"/>
      <c r="K10" s="173"/>
      <c r="L10" s="173"/>
      <c r="M10" s="173"/>
      <c r="N10" s="173"/>
      <c r="O10" s="173"/>
      <c r="P10" s="173"/>
      <c r="Q10" s="174"/>
      <c r="R10" s="165"/>
    </row>
    <row r="11" spans="1:18" ht="24.95" customHeight="1" x14ac:dyDescent="0.2">
      <c r="A11" s="614" t="s">
        <v>27</v>
      </c>
      <c r="B11" s="626">
        <f>(50*12)/2756</f>
        <v>0.21770682148040638</v>
      </c>
      <c r="C11" s="626">
        <f>(50*12)/2080</f>
        <v>0.28846153846153844</v>
      </c>
      <c r="D11"/>
      <c r="E11"/>
      <c r="F11"/>
      <c r="G11" s="173"/>
      <c r="H11" s="173"/>
      <c r="I11" s="173"/>
      <c r="J11" s="173"/>
      <c r="K11" s="173"/>
      <c r="L11" s="173"/>
      <c r="M11" s="173"/>
      <c r="N11" s="173"/>
      <c r="O11" s="175"/>
      <c r="P11" s="173"/>
      <c r="Q11" s="174"/>
      <c r="R11" s="165"/>
    </row>
    <row r="12" spans="1:18" ht="24.75" customHeight="1" x14ac:dyDescent="0.2">
      <c r="A12" s="614" t="s">
        <v>28</v>
      </c>
      <c r="B12" s="626">
        <f>(50*12)/2756</f>
        <v>0.21770682148040638</v>
      </c>
      <c r="C12" s="626">
        <f>(50*12)/2080</f>
        <v>0.28846153846153844</v>
      </c>
      <c r="D12"/>
      <c r="E12"/>
      <c r="F12"/>
      <c r="G12" s="173"/>
      <c r="H12" s="173"/>
      <c r="I12" s="173"/>
      <c r="J12" s="173"/>
      <c r="K12" s="173"/>
      <c r="L12" s="173"/>
      <c r="M12" s="173"/>
      <c r="N12" s="173"/>
      <c r="O12" s="175"/>
      <c r="P12" s="173"/>
      <c r="Q12" s="174"/>
      <c r="R12" s="165"/>
    </row>
    <row r="13" spans="1:18" ht="24.95" customHeight="1" x14ac:dyDescent="0.2">
      <c r="A13" s="614" t="s">
        <v>564</v>
      </c>
      <c r="B13" s="626">
        <f>(50*12)/2756</f>
        <v>0.21770682148040638</v>
      </c>
      <c r="C13" s="626">
        <f>(50*12)/2080</f>
        <v>0.28846153846153844</v>
      </c>
      <c r="D13"/>
      <c r="E13"/>
      <c r="F1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  <c r="R13" s="165"/>
    </row>
    <row r="14" spans="1:18" ht="24.95" customHeight="1" x14ac:dyDescent="0.2">
      <c r="A14" s="614" t="s">
        <v>563</v>
      </c>
      <c r="B14" s="626">
        <f>(100*12)/2756</f>
        <v>0.43541364296081275</v>
      </c>
      <c r="C14" s="626">
        <f>(100*12)/2080</f>
        <v>0.57692307692307687</v>
      </c>
      <c r="D14"/>
      <c r="E14"/>
      <c r="F14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4"/>
      <c r="R14" s="165"/>
    </row>
    <row r="15" spans="1:18" ht="24.95" customHeight="1" x14ac:dyDescent="0.2">
      <c r="A15" s="614" t="s">
        <v>562</v>
      </c>
      <c r="B15" s="626">
        <f>(200*12)/2756+(0.01)</f>
        <v>0.88082728592162551</v>
      </c>
      <c r="C15" s="626">
        <f>(200*12)/2080</f>
        <v>1.1538461538461537</v>
      </c>
      <c r="D15"/>
      <c r="E15"/>
      <c r="F15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4"/>
      <c r="R15" s="165"/>
    </row>
    <row r="16" spans="1:18" ht="24.95" customHeight="1" x14ac:dyDescent="0.2">
      <c r="A16" s="614" t="s">
        <v>29</v>
      </c>
      <c r="B16" s="626">
        <f>(200*12)/2756+(0.01)</f>
        <v>0.88082728592162551</v>
      </c>
      <c r="C16" s="626">
        <f>(200*12)/2080</f>
        <v>1.1538461538461537</v>
      </c>
      <c r="D16"/>
      <c r="E16"/>
      <c r="F16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4"/>
      <c r="R16" s="165"/>
    </row>
    <row r="17" spans="1:18" ht="24.95" customHeight="1" x14ac:dyDescent="0.2">
      <c r="A17" s="614" t="s">
        <v>30</v>
      </c>
      <c r="B17" s="626">
        <f>(50*12)/2756</f>
        <v>0.21770682148040638</v>
      </c>
      <c r="C17" s="626">
        <f>(50*12)/2080</f>
        <v>0.28846153846153844</v>
      </c>
      <c r="D17"/>
      <c r="E17"/>
      <c r="F17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4"/>
      <c r="R17" s="165"/>
    </row>
    <row r="18" spans="1:18" ht="24.95" customHeight="1" x14ac:dyDescent="0.2">
      <c r="A18" s="614" t="s">
        <v>31</v>
      </c>
      <c r="B18" s="626">
        <f>(75*12)/2756</f>
        <v>0.32656023222060959</v>
      </c>
      <c r="C18" s="626">
        <f>(75*12)/2080</f>
        <v>0.43269230769230771</v>
      </c>
      <c r="D18"/>
      <c r="E18"/>
      <c r="F18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165"/>
    </row>
    <row r="19" spans="1:18" ht="24.95" customHeight="1" x14ac:dyDescent="0.2">
      <c r="A19" s="614" t="s">
        <v>32</v>
      </c>
      <c r="B19" s="626">
        <f>(100*12)/2756</f>
        <v>0.43541364296081275</v>
      </c>
      <c r="C19" s="626">
        <f>(100*12)/2080</f>
        <v>0.57692307692307687</v>
      </c>
      <c r="D19"/>
      <c r="E19"/>
      <c r="F19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4"/>
      <c r="R19" s="165"/>
    </row>
    <row r="20" spans="1:18" ht="24.95" customHeight="1" x14ac:dyDescent="0.2">
      <c r="A20" s="614" t="s">
        <v>628</v>
      </c>
      <c r="B20" s="626">
        <f>(50*12)/2756</f>
        <v>0.21770682148040638</v>
      </c>
      <c r="C20" s="626">
        <f>(50*12)/2080</f>
        <v>0.28846153846153844</v>
      </c>
      <c r="D20"/>
      <c r="E20"/>
      <c r="F20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165"/>
    </row>
    <row r="21" spans="1:18" ht="24.95" customHeight="1" x14ac:dyDescent="0.2">
      <c r="A21" s="614" t="s">
        <v>629</v>
      </c>
      <c r="B21" s="626">
        <f>(75*12)/2756</f>
        <v>0.32656023222060959</v>
      </c>
      <c r="C21" s="626">
        <f>(75*12)/2080</f>
        <v>0.43269230769230771</v>
      </c>
      <c r="D21"/>
      <c r="E21"/>
      <c r="F21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4"/>
      <c r="R21" s="165"/>
    </row>
    <row r="22" spans="1:18" ht="24.95" customHeight="1" x14ac:dyDescent="0.2">
      <c r="A22" s="614" t="s">
        <v>630</v>
      </c>
      <c r="B22" s="626">
        <f>(100*12)/2756</f>
        <v>0.43541364296081275</v>
      </c>
      <c r="C22" s="626">
        <f>(100*12)/2080</f>
        <v>0.57692307692307687</v>
      </c>
      <c r="D22"/>
      <c r="E22"/>
      <c r="F22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165"/>
    </row>
    <row r="23" spans="1:18" ht="24.95" customHeight="1" x14ac:dyDescent="0.2">
      <c r="A23" s="614" t="s">
        <v>583</v>
      </c>
      <c r="B23" s="626">
        <f>(100*12)/2756</f>
        <v>0.43541364296081275</v>
      </c>
      <c r="C23" s="626">
        <f>(100*12)/2080</f>
        <v>0.57692307692307687</v>
      </c>
      <c r="D23"/>
      <c r="E23"/>
      <c r="F2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R23" s="165"/>
    </row>
    <row r="24" spans="1:18" ht="20.100000000000001" customHeight="1" x14ac:dyDescent="0.2">
      <c r="A24" s="165"/>
      <c r="B24" s="173"/>
      <c r="C24"/>
      <c r="D24"/>
      <c r="E24"/>
      <c r="F24"/>
      <c r="G24" s="173"/>
      <c r="H24" s="173"/>
      <c r="I24" s="173"/>
      <c r="J24" s="173"/>
      <c r="K24" s="173"/>
      <c r="L24" s="173"/>
      <c r="M24" s="173"/>
      <c r="N24" s="173"/>
      <c r="O24" s="175"/>
      <c r="P24" s="173"/>
      <c r="Q24" s="174"/>
      <c r="R24" s="165"/>
    </row>
    <row r="25" spans="1:18" ht="20.100000000000001" customHeight="1" x14ac:dyDescent="0.2">
      <c r="A25" s="535"/>
      <c r="B25" s="173"/>
      <c r="C25"/>
      <c r="D25"/>
      <c r="E25"/>
      <c r="F25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4"/>
      <c r="R25" s="165"/>
    </row>
    <row r="26" spans="1:18" ht="20.100000000000001" customHeight="1" x14ac:dyDescent="0.2">
      <c r="A26" s="165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4"/>
      <c r="R26" s="165"/>
    </row>
    <row r="27" spans="1:18" ht="20.100000000000001" customHeight="1" x14ac:dyDescent="0.2">
      <c r="A27" s="165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4"/>
      <c r="R27" s="165"/>
    </row>
    <row r="28" spans="1:18" x14ac:dyDescent="0.2">
      <c r="A28" s="165"/>
      <c r="B28" s="173"/>
      <c r="C28" s="173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73"/>
      <c r="P28" s="173"/>
      <c r="Q28" s="174"/>
      <c r="R28" s="165"/>
    </row>
    <row r="29" spans="1:18" x14ac:dyDescent="0.2">
      <c r="A29" s="165"/>
      <c r="B29" s="173"/>
      <c r="C29" s="173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</row>
    <row r="30" spans="1:18" x14ac:dyDescent="0.2">
      <c r="A30" s="165"/>
      <c r="B30" s="165"/>
    </row>
  </sheetData>
  <phoneticPr fontId="32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ColWidth="9.140625" defaultRowHeight="18.75" customHeight="1" x14ac:dyDescent="0.2"/>
  <cols>
    <col min="1" max="1" width="35.28515625" style="13" bestFit="1" customWidth="1"/>
    <col min="2" max="2" width="11.28515625" style="94" hidden="1" customWidth="1"/>
    <col min="3" max="3" width="11.28515625" style="13" hidden="1" customWidth="1"/>
    <col min="4" max="8" width="11.28515625" style="94" hidden="1" customWidth="1"/>
    <col min="9" max="16384" width="9.140625" style="94"/>
  </cols>
  <sheetData>
    <row r="1" spans="1:11" ht="18.75" customHeight="1" x14ac:dyDescent="0.3">
      <c r="A1" s="554" t="s">
        <v>479</v>
      </c>
      <c r="B1" s="269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178"/>
      <c r="B2" s="253"/>
      <c r="C2" s="96"/>
      <c r="D2" s="96"/>
      <c r="E2" s="52"/>
      <c r="F2" s="52"/>
      <c r="G2" s="52"/>
      <c r="H2" s="52"/>
      <c r="I2" s="52"/>
      <c r="J2" s="52"/>
      <c r="K2" s="52"/>
    </row>
    <row r="3" spans="1:11" s="186" customFormat="1" ht="18.75" customHeight="1" x14ac:dyDescent="0.2">
      <c r="A3" s="185" t="s">
        <v>115</v>
      </c>
      <c r="B3" s="188">
        <v>2010</v>
      </c>
      <c r="C3" s="394">
        <v>2013</v>
      </c>
      <c r="D3" s="467">
        <v>2014</v>
      </c>
      <c r="E3" s="467">
        <v>2015</v>
      </c>
      <c r="F3" s="467">
        <v>2016</v>
      </c>
      <c r="G3" s="467">
        <v>2017</v>
      </c>
      <c r="H3" s="467">
        <v>2018</v>
      </c>
      <c r="I3" s="467">
        <v>2019</v>
      </c>
      <c r="J3" s="467">
        <v>2020</v>
      </c>
      <c r="K3" s="467">
        <v>2021</v>
      </c>
    </row>
    <row r="4" spans="1:11" s="186" customFormat="1" ht="18.75" customHeight="1" x14ac:dyDescent="0.3">
      <c r="A4" s="32" t="s">
        <v>168</v>
      </c>
      <c r="B4" s="106">
        <v>10720</v>
      </c>
      <c r="C4" s="492">
        <v>10944.47</v>
      </c>
      <c r="D4" s="532">
        <f>2759.81+(2831*3)</f>
        <v>11252.81</v>
      </c>
      <c r="E4" s="532">
        <f>(2661.13*1)+(3201.95*3)</f>
        <v>12266.98</v>
      </c>
      <c r="F4" s="631">
        <v>12800</v>
      </c>
      <c r="G4" s="631">
        <f>3250*4</f>
        <v>13000</v>
      </c>
      <c r="H4" s="631">
        <v>14240</v>
      </c>
      <c r="I4" s="631">
        <v>17000</v>
      </c>
      <c r="J4" s="631">
        <f>17000*1.05</f>
        <v>17850</v>
      </c>
      <c r="K4" s="631">
        <f>17000*1.05</f>
        <v>17850</v>
      </c>
    </row>
    <row r="5" spans="1:11" s="186" customFormat="1" ht="18.75" customHeight="1" x14ac:dyDescent="0.3">
      <c r="A5" s="32" t="s">
        <v>239</v>
      </c>
      <c r="B5" s="106">
        <v>5570</v>
      </c>
      <c r="C5" s="492">
        <v>6000</v>
      </c>
      <c r="D5" s="492">
        <f>5900*1.19</f>
        <v>7021</v>
      </c>
      <c r="E5" s="492">
        <f>5874*1.27</f>
        <v>7459.9800000000005</v>
      </c>
      <c r="F5" s="632">
        <f>5874*1.34</f>
        <v>7871.1600000000008</v>
      </c>
      <c r="G5" s="632">
        <f>5874*1.44</f>
        <v>8458.56</v>
      </c>
      <c r="H5" s="632">
        <f>5970*1.58</f>
        <v>9432.6</v>
      </c>
      <c r="I5" s="632">
        <f>5970*1.59</f>
        <v>9492.3000000000011</v>
      </c>
      <c r="J5" s="632">
        <f>(6041*1.87)</f>
        <v>11296.67</v>
      </c>
      <c r="K5" s="632">
        <f>(6041*1.9)</f>
        <v>11477.9</v>
      </c>
    </row>
    <row r="6" spans="1:11" ht="18.75" customHeight="1" x14ac:dyDescent="0.3">
      <c r="A6" s="32" t="s">
        <v>34</v>
      </c>
      <c r="B6" s="40">
        <v>200</v>
      </c>
      <c r="C6" s="60">
        <v>200</v>
      </c>
      <c r="D6" s="60">
        <v>200</v>
      </c>
      <c r="E6" s="60">
        <v>200</v>
      </c>
      <c r="F6" s="633">
        <v>200</v>
      </c>
      <c r="G6" s="633">
        <v>200</v>
      </c>
      <c r="H6" s="633">
        <v>200</v>
      </c>
      <c r="I6" s="633">
        <v>200</v>
      </c>
      <c r="J6" s="633">
        <v>200</v>
      </c>
      <c r="K6" s="633">
        <v>200</v>
      </c>
    </row>
    <row r="7" spans="1:11" ht="18.75" customHeight="1" x14ac:dyDescent="0.3">
      <c r="A7" s="281"/>
      <c r="B7" s="40"/>
      <c r="C7" s="60"/>
      <c r="D7" s="60"/>
      <c r="E7" s="60">
        <v>915.48</v>
      </c>
      <c r="F7" s="633"/>
      <c r="G7" s="634"/>
      <c r="H7" s="634"/>
      <c r="I7" s="634"/>
      <c r="J7" s="634"/>
      <c r="K7" s="634"/>
    </row>
    <row r="8" spans="1:11" ht="18.75" customHeight="1" x14ac:dyDescent="0.3">
      <c r="A8" s="574"/>
      <c r="B8" s="40">
        <v>-2890</v>
      </c>
      <c r="C8" s="60"/>
      <c r="D8" s="60"/>
      <c r="E8" s="60"/>
      <c r="F8" s="633"/>
      <c r="G8" s="634"/>
      <c r="H8" s="634"/>
      <c r="I8" s="634"/>
      <c r="J8" s="634"/>
      <c r="K8" s="634"/>
    </row>
    <row r="9" spans="1:11" ht="18.75" customHeight="1" x14ac:dyDescent="0.3">
      <c r="A9" s="66"/>
      <c r="B9" s="40"/>
      <c r="C9" s="60"/>
      <c r="D9" s="60"/>
      <c r="E9" s="60"/>
      <c r="F9" s="633"/>
      <c r="G9" s="634"/>
      <c r="H9" s="634"/>
      <c r="I9" s="634"/>
      <c r="J9" s="634"/>
      <c r="K9" s="634"/>
    </row>
    <row r="10" spans="1:11" ht="18.75" customHeight="1" x14ac:dyDescent="0.3">
      <c r="A10" s="66"/>
      <c r="B10" s="40"/>
      <c r="C10" s="60"/>
      <c r="D10" s="60"/>
      <c r="E10" s="60"/>
      <c r="F10" s="633"/>
      <c r="G10" s="634"/>
      <c r="H10" s="634"/>
      <c r="I10" s="634"/>
      <c r="J10" s="634"/>
      <c r="K10" s="634"/>
    </row>
    <row r="11" spans="1:11" ht="18.75" customHeight="1" x14ac:dyDescent="0.3">
      <c r="A11" s="432"/>
      <c r="B11" s="120">
        <v>-62.93</v>
      </c>
      <c r="C11" s="442"/>
      <c r="D11" s="442"/>
      <c r="E11" s="442"/>
      <c r="F11" s="635"/>
      <c r="G11" s="636"/>
      <c r="H11" s="636"/>
      <c r="I11" s="636"/>
      <c r="J11" s="636"/>
      <c r="K11" s="636"/>
    </row>
    <row r="12" spans="1:11" ht="18.75" customHeight="1" x14ac:dyDescent="0.3">
      <c r="A12" s="430" t="s">
        <v>117</v>
      </c>
      <c r="B12" s="431">
        <f t="shared" ref="B12:H12" si="0">SUM(B4:B11)</f>
        <v>13537.07</v>
      </c>
      <c r="C12" s="431">
        <f t="shared" si="0"/>
        <v>17144.47</v>
      </c>
      <c r="D12" s="431">
        <f t="shared" si="0"/>
        <v>18473.809999999998</v>
      </c>
      <c r="E12" s="466">
        <f t="shared" si="0"/>
        <v>20842.439999999999</v>
      </c>
      <c r="F12" s="637">
        <f t="shared" si="0"/>
        <v>20871.16</v>
      </c>
      <c r="G12" s="638">
        <f t="shared" ref="G12" si="1">SUM(G4:G11)</f>
        <v>21658.559999999998</v>
      </c>
      <c r="H12" s="638">
        <f t="shared" si="0"/>
        <v>23872.6</v>
      </c>
      <c r="I12" s="638">
        <f t="shared" ref="I12:J12" si="2">SUM(I4:I11)</f>
        <v>26692.300000000003</v>
      </c>
      <c r="J12" s="638">
        <f t="shared" si="2"/>
        <v>29346.67</v>
      </c>
      <c r="K12" s="638">
        <f t="shared" ref="K12" si="3">SUM(K4:K11)</f>
        <v>29527.9</v>
      </c>
    </row>
    <row r="13" spans="1:11" ht="16.5" customHeight="1" x14ac:dyDescent="0.3">
      <c r="A13" s="95"/>
      <c r="B13" s="25"/>
      <c r="C13" s="95"/>
      <c r="D13" s="25"/>
      <c r="E13" s="25"/>
      <c r="F13" s="25"/>
      <c r="G13" s="25"/>
      <c r="H13" s="25"/>
    </row>
    <row r="14" spans="1:11" ht="16.5" customHeight="1" x14ac:dyDescent="0.3">
      <c r="A14" s="16"/>
      <c r="B14" s="25"/>
      <c r="C14" s="95"/>
      <c r="D14" s="25"/>
      <c r="E14" s="25"/>
      <c r="F14" s="25"/>
    </row>
    <row r="15" spans="1:11" ht="16.5" customHeight="1" x14ac:dyDescent="0.3">
      <c r="A15" s="232"/>
      <c r="B15" s="135"/>
      <c r="C15" s="133"/>
      <c r="D15" s="135"/>
      <c r="E15" s="135"/>
      <c r="F15" s="135"/>
      <c r="G15" s="482"/>
      <c r="H15" s="482"/>
    </row>
    <row r="16" spans="1:11" ht="16.5" customHeight="1" x14ac:dyDescent="0.3">
      <c r="A16" s="232"/>
      <c r="B16" s="135"/>
      <c r="C16" s="133"/>
      <c r="D16" s="135"/>
      <c r="E16" s="135"/>
      <c r="F16" s="135"/>
      <c r="G16" s="482"/>
      <c r="H16" s="482"/>
    </row>
    <row r="17" spans="1:8" ht="16.5" customHeight="1" x14ac:dyDescent="0.3">
      <c r="A17" s="232"/>
      <c r="B17" s="135"/>
      <c r="C17" s="133"/>
      <c r="D17" s="135"/>
      <c r="E17" s="135"/>
      <c r="F17" s="135"/>
      <c r="G17" s="482"/>
      <c r="H17" s="482"/>
    </row>
    <row r="18" spans="1:8" ht="16.5" customHeight="1" x14ac:dyDescent="0.3">
      <c r="A18" s="232"/>
      <c r="B18" s="135"/>
      <c r="C18" s="133"/>
      <c r="D18" s="135"/>
      <c r="E18" s="135"/>
      <c r="F18" s="135"/>
      <c r="G18" s="482"/>
      <c r="H18" s="482"/>
    </row>
    <row r="19" spans="1:8" ht="16.5" customHeight="1" x14ac:dyDescent="0.3">
      <c r="A19" s="232"/>
      <c r="B19" s="135"/>
      <c r="C19" s="133"/>
      <c r="D19" s="135"/>
      <c r="E19" s="135"/>
      <c r="F19" s="135"/>
      <c r="G19" s="482"/>
      <c r="H19" s="482"/>
    </row>
    <row r="20" spans="1:8" ht="16.5" customHeight="1" x14ac:dyDescent="0.3">
      <c r="A20" s="232"/>
      <c r="B20" s="135"/>
      <c r="C20" s="133"/>
      <c r="D20" s="135"/>
      <c r="E20" s="135"/>
      <c r="F20" s="135"/>
      <c r="G20" s="482"/>
      <c r="H20" s="482"/>
    </row>
    <row r="21" spans="1:8" ht="16.5" customHeight="1" x14ac:dyDescent="0.3">
      <c r="A21" s="16"/>
      <c r="B21" s="25"/>
      <c r="C21" s="95"/>
      <c r="D21" s="25"/>
      <c r="E21" s="25"/>
      <c r="F21" s="25"/>
    </row>
    <row r="22" spans="1:8" ht="16.5" customHeight="1" x14ac:dyDescent="0.3">
      <c r="A22" s="16"/>
      <c r="B22" s="25"/>
      <c r="C22" s="95"/>
      <c r="D22" s="25"/>
      <c r="E22" s="25"/>
      <c r="F22" s="25"/>
    </row>
    <row r="23" spans="1:8" ht="16.5" customHeight="1" x14ac:dyDescent="0.3">
      <c r="A23" s="16"/>
      <c r="B23" s="25"/>
      <c r="C23" s="95"/>
      <c r="D23" s="25"/>
      <c r="E23" s="25"/>
      <c r="F23" s="25"/>
    </row>
    <row r="24" spans="1:8" ht="16.5" customHeight="1" x14ac:dyDescent="0.2">
      <c r="A24" s="481"/>
      <c r="B24" s="482"/>
      <c r="C24" s="483"/>
    </row>
    <row r="25" spans="1:8" ht="16.5" customHeight="1" x14ac:dyDescent="0.2">
      <c r="A25" s="481"/>
      <c r="B25" s="482"/>
      <c r="C25" s="483"/>
    </row>
    <row r="26" spans="1:8" ht="16.5" customHeight="1" x14ac:dyDescent="0.2">
      <c r="A26" s="197"/>
    </row>
    <row r="27" spans="1:8" ht="16.5" customHeight="1" x14ac:dyDescent="0.2">
      <c r="A27" s="197"/>
    </row>
    <row r="28" spans="1:8" ht="16.5" customHeight="1" x14ac:dyDescent="0.3">
      <c r="A28" s="16"/>
      <c r="B28" s="25"/>
      <c r="C28" s="95"/>
      <c r="D28" s="25"/>
      <c r="E28" s="25"/>
      <c r="F28" s="25"/>
    </row>
    <row r="29" spans="1:8" ht="16.5" customHeight="1" x14ac:dyDescent="0.3">
      <c r="A29" s="16"/>
      <c r="B29" s="25"/>
      <c r="C29" s="95"/>
      <c r="D29" s="25"/>
      <c r="E29" s="25"/>
      <c r="F29" s="25"/>
    </row>
    <row r="30" spans="1:8" ht="18.75" customHeight="1" x14ac:dyDescent="0.3">
      <c r="A30" s="182"/>
      <c r="B30" s="109"/>
      <c r="C30" s="270"/>
      <c r="D30" s="25"/>
      <c r="E30" s="25"/>
      <c r="F30" s="25"/>
    </row>
    <row r="31" spans="1:8" ht="18.75" customHeight="1" x14ac:dyDescent="0.3">
      <c r="A31" s="182"/>
      <c r="B31" s="25"/>
      <c r="C31" s="95"/>
      <c r="D31" s="25"/>
      <c r="E31" s="25"/>
      <c r="F31" s="25"/>
    </row>
    <row r="32" spans="1:8" ht="18.75" customHeight="1" x14ac:dyDescent="0.3">
      <c r="A32" s="182"/>
      <c r="B32" s="25"/>
      <c r="C32" s="95"/>
      <c r="D32" s="25"/>
      <c r="E32" s="25"/>
      <c r="F32" s="25"/>
    </row>
    <row r="33" spans="1:6" ht="18.75" customHeight="1" x14ac:dyDescent="0.3">
      <c r="A33" s="182"/>
      <c r="B33" s="25"/>
      <c r="C33" s="95"/>
      <c r="D33" s="25"/>
      <c r="E33" s="25"/>
      <c r="F33" s="25"/>
    </row>
    <row r="34" spans="1:6" ht="18.75" customHeight="1" x14ac:dyDescent="0.2">
      <c r="A34" s="184"/>
    </row>
    <row r="35" spans="1:6" ht="18.75" customHeight="1" x14ac:dyDescent="0.2">
      <c r="A35" s="94"/>
      <c r="C35" s="94"/>
    </row>
    <row r="36" spans="1:6" ht="18.75" customHeight="1" x14ac:dyDescent="0.2">
      <c r="A36" s="94"/>
      <c r="C36" s="94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/>
  </sheetViews>
  <sheetFormatPr defaultColWidth="9.140625" defaultRowHeight="15" x14ac:dyDescent="0.25"/>
  <cols>
    <col min="1" max="1" width="16.5703125" style="965" customWidth="1"/>
    <col min="2" max="2" width="15.7109375" style="972" bestFit="1" customWidth="1"/>
    <col min="3" max="3" width="10.85546875" style="972" bestFit="1" customWidth="1"/>
    <col min="4" max="4" width="11.5703125" style="972" bestFit="1" customWidth="1"/>
    <col min="5" max="5" width="14.85546875" style="972" bestFit="1" customWidth="1"/>
    <col min="6" max="6" width="15.7109375" style="972" bestFit="1" customWidth="1"/>
    <col min="7" max="7" width="19.28515625" style="972" bestFit="1" customWidth="1"/>
    <col min="8" max="8" width="9.140625" style="967"/>
    <col min="9" max="9" width="8.7109375" style="965" customWidth="1"/>
    <col min="10" max="11" width="9.140625" style="965"/>
    <col min="12" max="12" width="12.7109375" style="965" bestFit="1" customWidth="1"/>
    <col min="13" max="13" width="14.5703125" style="965" bestFit="1" customWidth="1"/>
    <col min="14" max="16384" width="9.140625" style="965"/>
  </cols>
  <sheetData>
    <row r="1" spans="1:13" ht="15.75" thickBot="1" x14ac:dyDescent="0.3">
      <c r="A1" s="1036" t="s">
        <v>862</v>
      </c>
      <c r="B1" s="964" t="s">
        <v>716</v>
      </c>
      <c r="C1" s="964" t="s">
        <v>717</v>
      </c>
      <c r="D1" s="964" t="s">
        <v>718</v>
      </c>
      <c r="E1" s="964" t="s">
        <v>719</v>
      </c>
      <c r="F1" s="964" t="s">
        <v>754</v>
      </c>
      <c r="G1" s="964" t="s">
        <v>720</v>
      </c>
      <c r="H1" s="977" t="s">
        <v>128</v>
      </c>
      <c r="I1" s="977" t="s">
        <v>755</v>
      </c>
    </row>
    <row r="2" spans="1:13" ht="17.25" thickTop="1" thickBot="1" x14ac:dyDescent="0.3">
      <c r="A2" s="988" t="s">
        <v>721</v>
      </c>
      <c r="B2" s="989" t="s">
        <v>722</v>
      </c>
      <c r="C2" s="989"/>
      <c r="D2" s="989" t="s">
        <v>722</v>
      </c>
      <c r="E2" s="989"/>
      <c r="F2" s="989"/>
      <c r="G2" s="989"/>
      <c r="H2" s="967">
        <f>COUNTA(B2,C2,D2,E2,F2,G2)</f>
        <v>2</v>
      </c>
      <c r="I2" s="978">
        <f>IF(H2=0, 0, IF(H2=1, L3, IF(H2=2, L4, IF(H2=3, L5, IF(H2=4, L6, IF(H2=5, L7, IF(H2=6, L8)))))))</f>
        <v>0.30478955007256892</v>
      </c>
      <c r="K2" s="973" t="s">
        <v>128</v>
      </c>
      <c r="L2" s="973" t="s">
        <v>762</v>
      </c>
      <c r="M2" s="973" t="s">
        <v>763</v>
      </c>
    </row>
    <row r="3" spans="1:13" ht="16.5" thickTop="1" x14ac:dyDescent="0.25">
      <c r="A3" s="968" t="s">
        <v>723</v>
      </c>
      <c r="B3" s="966" t="s">
        <v>722</v>
      </c>
      <c r="C3" s="966" t="s">
        <v>722</v>
      </c>
      <c r="D3" s="969" t="s">
        <v>722</v>
      </c>
      <c r="E3" s="970" t="s">
        <v>722</v>
      </c>
      <c r="F3" s="966" t="s">
        <v>722</v>
      </c>
      <c r="G3" s="966" t="s">
        <v>722</v>
      </c>
      <c r="H3" s="967">
        <f>COUNTA(B3,C3,D3,E3,F3,G3)</f>
        <v>6</v>
      </c>
      <c r="I3" s="978">
        <f>IF(H3=0, 0, IF(H3=1, L3, IF(H3=2, L4, IF(H3=3, L5, IF(H3=4, L6, IF(H3=5, L7, IF(H3=6, L8)))))))</f>
        <v>0.66</v>
      </c>
      <c r="K3" s="974" t="s">
        <v>756</v>
      </c>
      <c r="L3" s="975">
        <f>(50*12)/2756</f>
        <v>0.21770682148040638</v>
      </c>
      <c r="M3" s="975">
        <f>(50*12)/2080</f>
        <v>0.28846153846153844</v>
      </c>
    </row>
    <row r="4" spans="1:13" ht="15.75" x14ac:dyDescent="0.25">
      <c r="A4" s="988" t="s">
        <v>724</v>
      </c>
      <c r="B4" s="989" t="s">
        <v>722</v>
      </c>
      <c r="C4" s="989"/>
      <c r="D4" s="989" t="s">
        <v>722</v>
      </c>
      <c r="E4" s="989"/>
      <c r="F4" s="989"/>
      <c r="G4" s="989"/>
      <c r="H4" s="967">
        <f t="shared" ref="H4:H33" si="0">COUNTA(B4,C4,D4,E4,F4,G4)</f>
        <v>2</v>
      </c>
      <c r="I4" s="978">
        <f>IF(H4=0, 0, IF(H4=1, L3, IF(H4=2, L4, IF(H4=3, L5, IF(H4=4, L6, IF(H4=5, L7, IF(H4=6, L8)))))))</f>
        <v>0.30478955007256892</v>
      </c>
      <c r="K4" s="974" t="s">
        <v>757</v>
      </c>
      <c r="L4" s="976">
        <f>(70*12)/2756</f>
        <v>0.30478955007256892</v>
      </c>
      <c r="M4" s="976">
        <f>(70*12)/2080</f>
        <v>0.40384615384615385</v>
      </c>
    </row>
    <row r="5" spans="1:13" ht="15.75" x14ac:dyDescent="0.25">
      <c r="A5" s="968" t="s">
        <v>725</v>
      </c>
      <c r="B5" s="969" t="s">
        <v>722</v>
      </c>
      <c r="C5" s="966"/>
      <c r="D5" s="966"/>
      <c r="E5" s="966"/>
      <c r="F5" s="966"/>
      <c r="G5" s="966"/>
      <c r="H5" s="967">
        <f t="shared" si="0"/>
        <v>1</v>
      </c>
      <c r="I5" s="978">
        <f>IF(H5=0, 0, IF(H5=1, L3, IF(H5=2, L4, IF(H5=3, L5, IF(H5=4, L6, IF(H5=5, L7, IF(H5=6, L8)))))))</f>
        <v>0.21770682148040638</v>
      </c>
      <c r="K5" s="974" t="s">
        <v>758</v>
      </c>
      <c r="L5" s="976">
        <f>(90*12)/2756</f>
        <v>0.39187227866473151</v>
      </c>
      <c r="M5" s="976">
        <f>(90*12)/2080</f>
        <v>0.51923076923076927</v>
      </c>
    </row>
    <row r="6" spans="1:13" ht="15.75" x14ac:dyDescent="0.25">
      <c r="A6" s="988" t="s">
        <v>726</v>
      </c>
      <c r="B6" s="989" t="s">
        <v>722</v>
      </c>
      <c r="C6" s="989"/>
      <c r="D6" s="989" t="s">
        <v>722</v>
      </c>
      <c r="E6" s="989"/>
      <c r="F6" s="989"/>
      <c r="G6" s="989"/>
      <c r="H6" s="967">
        <f t="shared" si="0"/>
        <v>2</v>
      </c>
      <c r="I6" s="978">
        <f>IF(H6=0, 0, IF(H6=1, L3, IF(H6=2, L4, IF(H6=3, L5, IF(H6=4, L6, IF(H6=5, L7, IF(H6=6, L8)))))))</f>
        <v>0.30478955007256892</v>
      </c>
      <c r="K6" s="974" t="s">
        <v>759</v>
      </c>
      <c r="L6" s="976">
        <f>(110*12)/2756</f>
        <v>0.47895500725689405</v>
      </c>
      <c r="M6" s="976">
        <f>(110*12)/2080</f>
        <v>0.63461538461538458</v>
      </c>
    </row>
    <row r="7" spans="1:13" ht="15.75" x14ac:dyDescent="0.25">
      <c r="A7" s="968" t="s">
        <v>727</v>
      </c>
      <c r="B7" s="966" t="s">
        <v>722</v>
      </c>
      <c r="C7" s="966"/>
      <c r="D7" s="970" t="s">
        <v>722</v>
      </c>
      <c r="E7" s="966"/>
      <c r="F7" s="970" t="s">
        <v>722</v>
      </c>
      <c r="G7" s="966" t="s">
        <v>722</v>
      </c>
      <c r="H7" s="967">
        <f t="shared" si="0"/>
        <v>4</v>
      </c>
      <c r="I7" s="978">
        <f>IF(H7=0, 0, IF(H7=1, L3, IF(H7=2, L4, IF(H7=3, L5, IF(H7=4, L6, IF(H7=5, L7, IF(H7=6, L8)))))))</f>
        <v>0.47895500725689405</v>
      </c>
      <c r="K7" s="974" t="s">
        <v>760</v>
      </c>
      <c r="L7" s="976">
        <f>(130*12)/2756</f>
        <v>0.56603773584905659</v>
      </c>
      <c r="M7" s="976">
        <f>(130*12)/2080</f>
        <v>0.75</v>
      </c>
    </row>
    <row r="8" spans="1:13" ht="15.75" x14ac:dyDescent="0.25">
      <c r="A8" s="988" t="s">
        <v>728</v>
      </c>
      <c r="B8" s="990" t="s">
        <v>722</v>
      </c>
      <c r="C8" s="989"/>
      <c r="D8" s="989"/>
      <c r="E8" s="989"/>
      <c r="F8" s="989"/>
      <c r="G8" s="989" t="s">
        <v>722</v>
      </c>
      <c r="H8" s="967">
        <f t="shared" si="0"/>
        <v>2</v>
      </c>
      <c r="I8" s="978">
        <f>IF(H8=0, 0, IF(H8=1, L3, IF(H8=2, L4, IF(H8=3, L5, IF(H8=4, L6, IF(H8=5, L7, IF(H8=6, L8)))))))</f>
        <v>0.30478955007256892</v>
      </c>
      <c r="K8" s="974" t="s">
        <v>761</v>
      </c>
      <c r="L8" s="976">
        <v>0.66</v>
      </c>
      <c r="M8" s="976">
        <v>0.87</v>
      </c>
    </row>
    <row r="9" spans="1:13" ht="15.75" x14ac:dyDescent="0.25">
      <c r="A9" s="968" t="s">
        <v>729</v>
      </c>
      <c r="B9" s="966"/>
      <c r="C9" s="966"/>
      <c r="D9" s="966"/>
      <c r="E9" s="966"/>
      <c r="F9" s="966"/>
      <c r="G9" s="966"/>
      <c r="H9" s="967">
        <f t="shared" si="0"/>
        <v>0</v>
      </c>
      <c r="I9" s="978">
        <f>IF(H9=0, 0, IF(H9=1, L3, IF(H9=2, L4, IF(H9=3, L5, IF(H9=4, L6, IF(H9=5, L7, IF(H9=6, L8)))))))</f>
        <v>0</v>
      </c>
    </row>
    <row r="10" spans="1:13" ht="15.75" x14ac:dyDescent="0.25">
      <c r="A10" s="988" t="s">
        <v>730</v>
      </c>
      <c r="B10" s="989" t="s">
        <v>722</v>
      </c>
      <c r="C10" s="989"/>
      <c r="D10" s="989" t="s">
        <v>722</v>
      </c>
      <c r="E10" s="989"/>
      <c r="F10" s="989" t="s">
        <v>722</v>
      </c>
      <c r="G10" s="989" t="s">
        <v>722</v>
      </c>
      <c r="H10" s="967">
        <f t="shared" si="0"/>
        <v>4</v>
      </c>
      <c r="I10" s="978">
        <f>IF(H10=0, 0, IF(H10=1, L3, IF(H10=2, L4, IF(H10=3, L5, IF(H10=4, L6, IF(H10=5, L7, IF(H10=6, L8)))))))</f>
        <v>0.47895500725689405</v>
      </c>
    </row>
    <row r="11" spans="1:13" ht="15.75" x14ac:dyDescent="0.25">
      <c r="A11" s="968" t="s">
        <v>731</v>
      </c>
      <c r="B11" s="966" t="s">
        <v>722</v>
      </c>
      <c r="C11" s="966"/>
      <c r="D11" s="966"/>
      <c r="E11" s="966"/>
      <c r="F11" s="966"/>
      <c r="G11" s="966" t="s">
        <v>722</v>
      </c>
      <c r="H11" s="967">
        <f t="shared" si="0"/>
        <v>2</v>
      </c>
      <c r="I11" s="978">
        <f>IF(H11=0, 0, IF(H11=1, L3, IF(H11=2, L4, IF(H11=3, L5, IF(H11=4, L6, IF(H11=5, L7, IF(H11=6, L8)))))))</f>
        <v>0.30478955007256892</v>
      </c>
    </row>
    <row r="12" spans="1:13" ht="15.75" x14ac:dyDescent="0.25">
      <c r="A12" s="988" t="s">
        <v>732</v>
      </c>
      <c r="B12" s="989" t="s">
        <v>722</v>
      </c>
      <c r="C12" s="989"/>
      <c r="D12" s="989" t="s">
        <v>722</v>
      </c>
      <c r="E12" s="989"/>
      <c r="F12" s="989"/>
      <c r="G12" s="989" t="s">
        <v>722</v>
      </c>
      <c r="H12" s="967">
        <f t="shared" si="0"/>
        <v>3</v>
      </c>
      <c r="I12" s="978">
        <f>IF(H12=0, 0, IF(H12=1, L3, IF(H12=2, L4, IF(H12=3, L5, IF(H12=4, L6, IF(H12=5, L7, IF(H12=6, L8)))))))</f>
        <v>0.39187227866473151</v>
      </c>
    </row>
    <row r="13" spans="1:13" ht="15.75" x14ac:dyDescent="0.25">
      <c r="A13" s="968" t="s">
        <v>733</v>
      </c>
      <c r="B13" s="966" t="s">
        <v>722</v>
      </c>
      <c r="C13" s="966" t="s">
        <v>722</v>
      </c>
      <c r="D13" s="966" t="s">
        <v>722</v>
      </c>
      <c r="E13" s="966" t="s">
        <v>722</v>
      </c>
      <c r="F13" s="966" t="s">
        <v>722</v>
      </c>
      <c r="G13" s="966" t="s">
        <v>722</v>
      </c>
      <c r="H13" s="967">
        <f t="shared" si="0"/>
        <v>6</v>
      </c>
      <c r="I13" s="978">
        <f>IF(H13=0, 0, IF(H13=1, L3, IF(H13=2, L4, IF(H13=3, L5, IF(H13=4, L6, IF(H13=5, L7, IF(H13=6, L8)))))))</f>
        <v>0.66</v>
      </c>
    </row>
    <row r="14" spans="1:13" ht="15.75" x14ac:dyDescent="0.25">
      <c r="A14" s="988" t="s">
        <v>734</v>
      </c>
      <c r="B14" s="989" t="s">
        <v>722</v>
      </c>
      <c r="C14" s="989"/>
      <c r="D14" s="989" t="s">
        <v>722</v>
      </c>
      <c r="E14" s="989"/>
      <c r="F14" s="989"/>
      <c r="G14" s="989"/>
      <c r="H14" s="967">
        <f t="shared" si="0"/>
        <v>2</v>
      </c>
      <c r="I14" s="978">
        <f>IF(H14=0, 0, IF(H14=1, L3, IF(H14=2, L4, IF(H14=3, L5, IF(H14=4, L6, IF(H14=5, L7, IF(H14=6, L8)))))))</f>
        <v>0.30478955007256892</v>
      </c>
    </row>
    <row r="15" spans="1:13" ht="15.75" x14ac:dyDescent="0.25">
      <c r="A15" s="971" t="s">
        <v>735</v>
      </c>
      <c r="B15" s="970" t="s">
        <v>722</v>
      </c>
      <c r="C15" s="966"/>
      <c r="D15" s="970" t="s">
        <v>722</v>
      </c>
      <c r="E15" s="966"/>
      <c r="F15" s="966"/>
      <c r="G15" s="970" t="s">
        <v>722</v>
      </c>
      <c r="H15" s="967">
        <f t="shared" si="0"/>
        <v>3</v>
      </c>
      <c r="I15" s="978">
        <f>IF(H15=0, 0, IF(H15=1, L3, IF(H15=2, L4, IF(H15=3, L5, IF(H15=4, L6, IF(H15=5, L7, IF(H15=6, L8)))))))</f>
        <v>0.39187227866473151</v>
      </c>
    </row>
    <row r="16" spans="1:13" ht="15.75" x14ac:dyDescent="0.25">
      <c r="A16" s="988" t="s">
        <v>736</v>
      </c>
      <c r="B16" s="989" t="s">
        <v>722</v>
      </c>
      <c r="C16" s="989"/>
      <c r="D16" s="989"/>
      <c r="E16" s="989" t="s">
        <v>722</v>
      </c>
      <c r="F16" s="989"/>
      <c r="G16" s="989"/>
      <c r="H16" s="967">
        <f t="shared" si="0"/>
        <v>2</v>
      </c>
      <c r="I16" s="978">
        <f>IF(H16=0, 0, IF(H16=1, L3, IF(H16=2, L4, IF(H16=3, L5, IF(H16=4, L6, IF(H16=5, L7, IF(H16=6, L8)))))))</f>
        <v>0.30478955007256892</v>
      </c>
    </row>
    <row r="17" spans="1:9" ht="15.75" x14ac:dyDescent="0.25">
      <c r="A17" s="971" t="s">
        <v>737</v>
      </c>
      <c r="B17" s="970" t="s">
        <v>722</v>
      </c>
      <c r="C17" s="966"/>
      <c r="D17" s="966"/>
      <c r="E17" s="966"/>
      <c r="F17" s="966"/>
      <c r="G17" s="966"/>
      <c r="H17" s="967">
        <f t="shared" si="0"/>
        <v>1</v>
      </c>
      <c r="I17" s="978">
        <f>IF(H17=0, 0, IF(H17=1, L3, IF(H17=2, L4, IF(H17=3, L5, IF(H17=4, L6, IF(H17=5, L7, IF(H17=6, L8)))))))</f>
        <v>0.21770682148040638</v>
      </c>
    </row>
    <row r="18" spans="1:9" ht="15.75" x14ac:dyDescent="0.25">
      <c r="A18" s="988" t="s">
        <v>738</v>
      </c>
      <c r="B18" s="989" t="s">
        <v>722</v>
      </c>
      <c r="C18" s="989" t="s">
        <v>722</v>
      </c>
      <c r="D18" s="989" t="s">
        <v>722</v>
      </c>
      <c r="E18" s="989"/>
      <c r="F18" s="989"/>
      <c r="G18" s="989"/>
      <c r="H18" s="967">
        <f t="shared" si="0"/>
        <v>3</v>
      </c>
      <c r="I18" s="978">
        <f>IF(H18=0, 0, IF(H18=1, L3, IF(H18=2, L4, IF(H18=3, L5, IF(H18=4, L6, IF(H18=5, L7, IF(H18=6, L8)))))))</f>
        <v>0.39187227866473151</v>
      </c>
    </row>
    <row r="19" spans="1:9" ht="15.75" x14ac:dyDescent="0.25">
      <c r="A19" s="971" t="s">
        <v>739</v>
      </c>
      <c r="B19" s="966" t="s">
        <v>722</v>
      </c>
      <c r="C19" s="966"/>
      <c r="D19" s="966"/>
      <c r="E19" s="966"/>
      <c r="F19" s="966"/>
      <c r="G19" s="966"/>
      <c r="H19" s="967">
        <f t="shared" si="0"/>
        <v>1</v>
      </c>
      <c r="I19" s="978">
        <f>IF(H19=0, 0, IF(H19=1, L3, IF(H19=2, L4, IF(H19=3, L5, IF(H19=4, L6, IF(H19=5, L7, IF(H19=6, L8)))))))</f>
        <v>0.21770682148040638</v>
      </c>
    </row>
    <row r="20" spans="1:9" ht="15.75" x14ac:dyDescent="0.25">
      <c r="A20" s="988" t="s">
        <v>740</v>
      </c>
      <c r="B20" s="989" t="s">
        <v>722</v>
      </c>
      <c r="C20" s="989"/>
      <c r="D20" s="990" t="s">
        <v>722</v>
      </c>
      <c r="E20" s="989"/>
      <c r="F20" s="989"/>
      <c r="G20" s="990" t="s">
        <v>722</v>
      </c>
      <c r="H20" s="967">
        <f t="shared" si="0"/>
        <v>3</v>
      </c>
      <c r="I20" s="978">
        <f>IF(H20=0, 0, IF(H20=1, L3, IF(H20=2, L4, IF(H20=3, L5, IF(H20=4, L6, IF(H20=5, L7, IF(H20=6, L8)))))))</f>
        <v>0.39187227866473151</v>
      </c>
    </row>
    <row r="21" spans="1:9" ht="15.75" x14ac:dyDescent="0.25">
      <c r="A21" s="968" t="s">
        <v>741</v>
      </c>
      <c r="B21" s="966" t="s">
        <v>722</v>
      </c>
      <c r="C21" s="966" t="s">
        <v>722</v>
      </c>
      <c r="D21" s="966" t="s">
        <v>722</v>
      </c>
      <c r="E21" s="966"/>
      <c r="F21" s="966" t="s">
        <v>722</v>
      </c>
      <c r="G21" s="966"/>
      <c r="H21" s="967">
        <f t="shared" si="0"/>
        <v>4</v>
      </c>
      <c r="I21" s="978">
        <f>IF(H21=0, 0, IF(H21=1, L3, IF(H21=2, L4, IF(H21=3, L5, IF(H21=4, L6, IF(H21=5, L7, IF(H21=6, L8)))))))</f>
        <v>0.47895500725689405</v>
      </c>
    </row>
    <row r="22" spans="1:9" ht="15.75" x14ac:dyDescent="0.25">
      <c r="A22" s="988" t="s">
        <v>742</v>
      </c>
      <c r="B22" s="989" t="s">
        <v>722</v>
      </c>
      <c r="C22" s="989"/>
      <c r="D22" s="989"/>
      <c r="E22" s="989"/>
      <c r="F22" s="989"/>
      <c r="G22" s="989"/>
      <c r="H22" s="967">
        <f t="shared" si="0"/>
        <v>1</v>
      </c>
      <c r="I22" s="978">
        <f>IF(H22=0, 0, IF(H22=1, L3, IF(H22=2, L4, IF(H22=3, L5, IF(H22=4, L6, IF(H22=5, L7, IF(H22=6, L8)))))))</f>
        <v>0.21770682148040638</v>
      </c>
    </row>
    <row r="23" spans="1:9" ht="15.75" x14ac:dyDescent="0.25">
      <c r="A23" s="971" t="s">
        <v>743</v>
      </c>
      <c r="B23" s="966" t="s">
        <v>722</v>
      </c>
      <c r="C23" s="966" t="s">
        <v>722</v>
      </c>
      <c r="D23" s="966" t="s">
        <v>722</v>
      </c>
      <c r="E23" s="966" t="s">
        <v>722</v>
      </c>
      <c r="F23" s="966" t="s">
        <v>722</v>
      </c>
      <c r="G23" s="966" t="s">
        <v>722</v>
      </c>
      <c r="H23" s="967">
        <f t="shared" si="0"/>
        <v>6</v>
      </c>
      <c r="I23" s="978">
        <f>IF(H23=0, 0, IF(H23=1, L3, IF(H23=2, L4, IF(H23=3, L5, IF(H23=4, L6, IF(H23=5, L7, IF(H23=6, L8)))))))</f>
        <v>0.66</v>
      </c>
    </row>
    <row r="24" spans="1:9" ht="15.75" x14ac:dyDescent="0.25">
      <c r="A24" s="988" t="s">
        <v>744</v>
      </c>
      <c r="B24" s="989" t="s">
        <v>722</v>
      </c>
      <c r="C24" s="989"/>
      <c r="D24" s="989"/>
      <c r="E24" s="989"/>
      <c r="F24" s="989"/>
      <c r="G24" s="989"/>
      <c r="H24" s="967">
        <f t="shared" si="0"/>
        <v>1</v>
      </c>
      <c r="I24" s="978">
        <f>IF(H24=0, 0, IF(H24=1, L3, IF(H24=2, L4, IF(H24=3, L5, IF(H24=4, L6, IF(H24=5, L7, IF(H24=6, L8)))))))</f>
        <v>0.21770682148040638</v>
      </c>
    </row>
    <row r="25" spans="1:9" ht="15.75" x14ac:dyDescent="0.25">
      <c r="A25" s="968" t="s">
        <v>745</v>
      </c>
      <c r="B25" s="966" t="s">
        <v>722</v>
      </c>
      <c r="C25" s="966"/>
      <c r="D25" s="966"/>
      <c r="E25" s="966"/>
      <c r="F25" s="966"/>
      <c r="G25" s="966"/>
      <c r="H25" s="967">
        <f t="shared" si="0"/>
        <v>1</v>
      </c>
      <c r="I25" s="978">
        <f>IF(H25=0, 0, IF(H25=1, L3, IF(H25=2, L4, IF(H25=3, L5, IF(H25=4, L6, IF(H25=5, L7, IF(H25=6, L8)))))))</f>
        <v>0.21770682148040638</v>
      </c>
    </row>
    <row r="26" spans="1:9" ht="15.75" x14ac:dyDescent="0.25">
      <c r="A26" s="988" t="s">
        <v>746</v>
      </c>
      <c r="B26" s="989" t="s">
        <v>722</v>
      </c>
      <c r="C26" s="989"/>
      <c r="D26" s="989" t="s">
        <v>722</v>
      </c>
      <c r="E26" s="989"/>
      <c r="F26" s="989" t="s">
        <v>722</v>
      </c>
      <c r="G26" s="989"/>
      <c r="H26" s="967">
        <f t="shared" si="0"/>
        <v>3</v>
      </c>
      <c r="I26" s="978">
        <f>IF(H26=0, 0, IF(H26=1, L3, IF(H26=2, L4, IF(H26=3, L5, IF(H26=4, L6, IF(H26=5, L7, IF(H26=6, L8)))))))</f>
        <v>0.39187227866473151</v>
      </c>
    </row>
    <row r="27" spans="1:9" ht="15.75" x14ac:dyDescent="0.25">
      <c r="A27" s="968" t="s">
        <v>747</v>
      </c>
      <c r="B27" s="966" t="s">
        <v>722</v>
      </c>
      <c r="C27" s="966" t="s">
        <v>722</v>
      </c>
      <c r="D27" s="970" t="s">
        <v>722</v>
      </c>
      <c r="E27" s="966"/>
      <c r="F27" s="966"/>
      <c r="G27" s="966" t="s">
        <v>722</v>
      </c>
      <c r="H27" s="967">
        <f t="shared" si="0"/>
        <v>4</v>
      </c>
      <c r="I27" s="978">
        <f>IF(H27=0, 0, IF(H27=1, L3, IF(H27=2, L4, IF(H27=3, L5, IF(H27=4, L6, IF(H27=5, L7, IF(H27=6, L8)))))))</f>
        <v>0.47895500725689405</v>
      </c>
    </row>
    <row r="28" spans="1:9" ht="15.75" x14ac:dyDescent="0.25">
      <c r="A28" s="988" t="s">
        <v>748</v>
      </c>
      <c r="B28" s="989" t="s">
        <v>722</v>
      </c>
      <c r="C28" s="989"/>
      <c r="D28" s="989"/>
      <c r="E28" s="989"/>
      <c r="F28" s="989" t="s">
        <v>722</v>
      </c>
      <c r="G28" s="989"/>
      <c r="H28" s="967">
        <f t="shared" si="0"/>
        <v>2</v>
      </c>
      <c r="I28" s="978">
        <f>IF(H28=0, 0, IF(H28=1, L3, IF(H28=2, L4, IF(H28=3, L5, IF(H28=4, L6, IF(H28=5, L7, IF(H28=6, L8)))))))</f>
        <v>0.30478955007256892</v>
      </c>
    </row>
    <row r="29" spans="1:9" ht="15.75" x14ac:dyDescent="0.25">
      <c r="A29" s="968" t="s">
        <v>749</v>
      </c>
      <c r="B29" s="966"/>
      <c r="C29" s="966"/>
      <c r="D29" s="966"/>
      <c r="E29" s="966"/>
      <c r="F29" s="966"/>
      <c r="G29" s="966"/>
      <c r="H29" s="967">
        <f t="shared" si="0"/>
        <v>0</v>
      </c>
      <c r="I29" s="978">
        <f>IF(H29=0, 0, IF(H29=1, L3, IF(H29=2, L4, IF(H29=3, L5, IF(H29=4, L6, IF(H29=5, L7, IF(H29=6, L8)))))))</f>
        <v>0</v>
      </c>
    </row>
    <row r="30" spans="1:9" ht="15.75" x14ac:dyDescent="0.25">
      <c r="A30" s="988" t="s">
        <v>750</v>
      </c>
      <c r="B30" s="989" t="s">
        <v>722</v>
      </c>
      <c r="C30" s="989" t="s">
        <v>722</v>
      </c>
      <c r="D30" s="989" t="s">
        <v>722</v>
      </c>
      <c r="E30" s="989"/>
      <c r="F30" s="989"/>
      <c r="G30" s="989" t="s">
        <v>722</v>
      </c>
      <c r="H30" s="967">
        <f t="shared" si="0"/>
        <v>4</v>
      </c>
      <c r="I30" s="978">
        <f>IF(H30=0, 0, IF(H30=1, L3, IF(H30=2, L4, IF(H30=3, L5, IF(H30=4, L6, IF(H30=5, L7, IF(H30=6, L8)))))))</f>
        <v>0.47895500725689405</v>
      </c>
    </row>
    <row r="31" spans="1:9" ht="15.75" x14ac:dyDescent="0.25">
      <c r="A31" s="971" t="s">
        <v>751</v>
      </c>
      <c r="B31" s="969" t="s">
        <v>722</v>
      </c>
      <c r="C31" s="969" t="s">
        <v>722</v>
      </c>
      <c r="D31" s="966" t="s">
        <v>722</v>
      </c>
      <c r="E31" s="966"/>
      <c r="F31" s="966"/>
      <c r="G31" s="966"/>
      <c r="H31" s="967">
        <f t="shared" si="0"/>
        <v>3</v>
      </c>
      <c r="I31" s="978">
        <f>IF(H31=0, 0, IF(H31=1, L3, IF(H31=2, L4, IF(H31=3, L5, IF(H31=4, L6, IF(H31=5, L7, IF(H31=6, L8)))))))</f>
        <v>0.39187227866473151</v>
      </c>
    </row>
    <row r="32" spans="1:9" ht="15.75" x14ac:dyDescent="0.25">
      <c r="A32" s="988" t="s">
        <v>752</v>
      </c>
      <c r="B32" s="989" t="s">
        <v>722</v>
      </c>
      <c r="C32" s="989"/>
      <c r="D32" s="989"/>
      <c r="E32" s="989"/>
      <c r="F32" s="990" t="s">
        <v>722</v>
      </c>
      <c r="G32" s="990" t="s">
        <v>722</v>
      </c>
      <c r="H32" s="967">
        <f t="shared" si="0"/>
        <v>3</v>
      </c>
      <c r="I32" s="978">
        <f>IF(H32=0, 0, IF(H32=1, L3, IF(H32=2, L4, IF(H32=3, L5, IF(H32=4, L6, IF(H32=5, L7, IF(H32=6, L8)))))))</f>
        <v>0.39187227866473151</v>
      </c>
    </row>
    <row r="33" spans="1:9" ht="15.75" x14ac:dyDescent="0.25">
      <c r="A33" s="971" t="s">
        <v>753</v>
      </c>
      <c r="B33" s="966"/>
      <c r="C33" s="966"/>
      <c r="D33" s="966"/>
      <c r="E33" s="966"/>
      <c r="F33" s="966"/>
      <c r="G33" s="966"/>
      <c r="H33" s="967">
        <f t="shared" si="0"/>
        <v>0</v>
      </c>
      <c r="I33" s="978">
        <f>IF(H33=0, 0, IF(H33=1, L3, IF(H33=2, L4, IF(H33=3, L5, IF(H33=4, L6, IF(H33=5, L7, IF(H33=6, L8)))))))</f>
        <v>0</v>
      </c>
    </row>
  </sheetData>
  <phoneticPr fontId="20" type="noConversion"/>
  <pageMargins left="0.7" right="0.7" top="0.75" bottom="0.75" header="0.3" footer="0.3"/>
  <pageSetup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ColWidth="9.140625" defaultRowHeight="18.75" customHeight="1" x14ac:dyDescent="0.3"/>
  <cols>
    <col min="1" max="1" width="46" style="95" bestFit="1" customWidth="1"/>
    <col min="2" max="2" width="10.42578125" style="43" hidden="1" customWidth="1"/>
    <col min="3" max="8" width="10.42578125" style="25" hidden="1" customWidth="1"/>
    <col min="9" max="16384" width="9.140625" style="25"/>
  </cols>
  <sheetData>
    <row r="1" spans="1:11" s="44" customFormat="1" ht="18.75" customHeight="1" x14ac:dyDescent="0.3">
      <c r="A1" s="213" t="s">
        <v>491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99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s="44" customFormat="1" ht="24.95" customHeight="1" x14ac:dyDescent="0.3">
      <c r="A5" s="39"/>
      <c r="B5" s="195"/>
      <c r="C5" s="195"/>
      <c r="D5" s="195"/>
      <c r="E5" s="195"/>
      <c r="F5" s="681"/>
      <c r="G5" s="681"/>
      <c r="H5" s="681"/>
      <c r="I5" s="681"/>
      <c r="J5" s="681"/>
      <c r="K5" s="681"/>
    </row>
    <row r="6" spans="1:11" ht="24.95" customHeight="1" x14ac:dyDescent="0.3">
      <c r="A6" s="61" t="s">
        <v>51</v>
      </c>
      <c r="B6" s="60">
        <v>2000</v>
      </c>
      <c r="C6" s="60">
        <v>600</v>
      </c>
      <c r="D6" s="60">
        <v>500</v>
      </c>
      <c r="E6" s="60">
        <v>800</v>
      </c>
      <c r="F6" s="633">
        <v>800</v>
      </c>
      <c r="G6" s="633">
        <v>600</v>
      </c>
      <c r="H6" s="633">
        <v>700</v>
      </c>
      <c r="I6" s="633">
        <v>750</v>
      </c>
      <c r="J6" s="633">
        <v>750</v>
      </c>
      <c r="K6" s="633">
        <v>750</v>
      </c>
    </row>
    <row r="7" spans="1:11" ht="24.95" customHeight="1" x14ac:dyDescent="0.3">
      <c r="A7" s="61" t="s">
        <v>52</v>
      </c>
      <c r="B7" s="60">
        <v>4600</v>
      </c>
      <c r="C7" s="60">
        <v>3500</v>
      </c>
      <c r="D7" s="60">
        <v>4000</v>
      </c>
      <c r="E7" s="60">
        <v>2500</v>
      </c>
      <c r="F7" s="633">
        <v>1800</v>
      </c>
      <c r="G7" s="633">
        <v>2000</v>
      </c>
      <c r="H7" s="633">
        <v>2100</v>
      </c>
      <c r="I7" s="633">
        <v>2500</v>
      </c>
      <c r="J7" s="633">
        <v>2800</v>
      </c>
      <c r="K7" s="633">
        <v>3000</v>
      </c>
    </row>
    <row r="8" spans="1:11" ht="24.95" customHeight="1" x14ac:dyDescent="0.3">
      <c r="A8" s="52" t="s">
        <v>162</v>
      </c>
      <c r="B8" s="40">
        <v>600</v>
      </c>
      <c r="C8" s="40">
        <v>500</v>
      </c>
      <c r="D8" s="40">
        <v>500</v>
      </c>
      <c r="E8" s="40">
        <v>500</v>
      </c>
      <c r="F8" s="644">
        <v>500</v>
      </c>
      <c r="G8" s="644">
        <v>500</v>
      </c>
      <c r="H8" s="644">
        <v>500</v>
      </c>
      <c r="I8" s="644">
        <v>500</v>
      </c>
      <c r="J8" s="644">
        <v>500</v>
      </c>
      <c r="K8" s="644">
        <v>500</v>
      </c>
    </row>
    <row r="9" spans="1:11" ht="24.95" customHeight="1" x14ac:dyDescent="0.3">
      <c r="A9" s="61" t="s">
        <v>699</v>
      </c>
      <c r="B9" s="60">
        <v>800</v>
      </c>
      <c r="C9" s="60"/>
      <c r="D9" s="60">
        <v>300</v>
      </c>
      <c r="E9" s="60">
        <v>400</v>
      </c>
      <c r="F9" s="633">
        <v>400</v>
      </c>
      <c r="G9" s="633">
        <v>600</v>
      </c>
      <c r="H9" s="633">
        <v>600</v>
      </c>
      <c r="I9" s="633">
        <v>800</v>
      </c>
      <c r="J9" s="633">
        <v>1000</v>
      </c>
      <c r="K9" s="633">
        <v>1200</v>
      </c>
    </row>
    <row r="10" spans="1:11" ht="24.95" hidden="1" customHeight="1" x14ac:dyDescent="0.3">
      <c r="A10" s="61" t="s">
        <v>354</v>
      </c>
      <c r="B10" s="60"/>
      <c r="C10" s="60">
        <v>600</v>
      </c>
      <c r="D10" s="60"/>
      <c r="E10" s="60"/>
      <c r="F10" s="633"/>
      <c r="G10" s="633"/>
      <c r="H10" s="633"/>
      <c r="I10" s="633"/>
      <c r="J10" s="633"/>
      <c r="K10" s="633"/>
    </row>
    <row r="11" spans="1:11" ht="24.95" customHeight="1" x14ac:dyDescent="0.3">
      <c r="A11" s="452"/>
      <c r="B11" s="60"/>
      <c r="C11" s="60"/>
      <c r="D11" s="60"/>
      <c r="E11" s="60"/>
      <c r="F11" s="633"/>
      <c r="G11" s="633"/>
      <c r="H11" s="633"/>
      <c r="I11" s="633"/>
      <c r="J11" s="633"/>
      <c r="K11" s="633"/>
    </row>
    <row r="12" spans="1:11" ht="24.95" customHeight="1" x14ac:dyDescent="0.3">
      <c r="A12" s="452"/>
      <c r="B12" s="60"/>
      <c r="C12" s="60"/>
      <c r="D12" s="60"/>
      <c r="E12" s="60"/>
      <c r="F12" s="633"/>
      <c r="G12" s="633"/>
      <c r="H12" s="633"/>
      <c r="I12" s="633"/>
      <c r="J12" s="633"/>
      <c r="K12" s="633"/>
    </row>
    <row r="13" spans="1:11" ht="24.95" customHeight="1" thickBot="1" x14ac:dyDescent="0.35">
      <c r="A13" s="448"/>
      <c r="B13" s="278">
        <v>925</v>
      </c>
      <c r="C13" s="278"/>
      <c r="D13" s="278"/>
      <c r="E13" s="278"/>
      <c r="F13" s="736"/>
      <c r="G13" s="736"/>
      <c r="H13" s="736"/>
      <c r="I13" s="736"/>
      <c r="J13" s="736"/>
      <c r="K13" s="736"/>
    </row>
    <row r="14" spans="1:11" ht="24.95" customHeight="1" thickTop="1" x14ac:dyDescent="0.3">
      <c r="A14" s="101" t="s">
        <v>113</v>
      </c>
      <c r="B14" s="131">
        <f t="shared" ref="B14:H14" si="0">SUM(B4:B13)</f>
        <v>8925</v>
      </c>
      <c r="C14" s="131">
        <f t="shared" si="0"/>
        <v>5200</v>
      </c>
      <c r="D14" s="131">
        <f t="shared" si="0"/>
        <v>5300</v>
      </c>
      <c r="E14" s="131">
        <f t="shared" si="0"/>
        <v>4200</v>
      </c>
      <c r="F14" s="693">
        <f t="shared" si="0"/>
        <v>3500</v>
      </c>
      <c r="G14" s="693">
        <f t="shared" ref="G14" si="1">SUM(G4:G13)</f>
        <v>3700</v>
      </c>
      <c r="H14" s="693">
        <f t="shared" si="0"/>
        <v>3900</v>
      </c>
      <c r="I14" s="693">
        <f t="shared" ref="I14:J14" si="2">SUM(I4:I13)</f>
        <v>4550</v>
      </c>
      <c r="J14" s="693">
        <f t="shared" si="2"/>
        <v>5050</v>
      </c>
      <c r="K14" s="693">
        <f t="shared" ref="K14" si="3">SUM(K4:K13)</f>
        <v>5450</v>
      </c>
    </row>
    <row r="15" spans="1:11" ht="18.75" customHeight="1" x14ac:dyDescent="0.3">
      <c r="B15" s="43" t="s">
        <v>114</v>
      </c>
    </row>
    <row r="16" spans="1:11" ht="18.75" customHeight="1" x14ac:dyDescent="0.3">
      <c r="A16" s="16"/>
    </row>
    <row r="17" spans="1:1" ht="18.75" customHeight="1" x14ac:dyDescent="0.3">
      <c r="A17" s="16"/>
    </row>
    <row r="18" spans="1:1" ht="18.75" customHeight="1" x14ac:dyDescent="0.3">
      <c r="A18" s="16"/>
    </row>
    <row r="19" spans="1:1" ht="18.75" customHeight="1" x14ac:dyDescent="0.3">
      <c r="A19" s="16"/>
    </row>
    <row r="20" spans="1:1" ht="18.75" customHeight="1" x14ac:dyDescent="0.3">
      <c r="A20" s="16"/>
    </row>
    <row r="21" spans="1:1" ht="18.75" customHeight="1" x14ac:dyDescent="0.3">
      <c r="A21" s="16"/>
    </row>
    <row r="22" spans="1:1" ht="18.75" customHeight="1" x14ac:dyDescent="0.3">
      <c r="A22" s="16"/>
    </row>
    <row r="23" spans="1:1" ht="18.75" customHeight="1" x14ac:dyDescent="0.3">
      <c r="A23" s="16"/>
    </row>
    <row r="24" spans="1:1" ht="18.75" customHeight="1" x14ac:dyDescent="0.3">
      <c r="A24" s="16"/>
    </row>
    <row r="25" spans="1:1" ht="18.75" customHeight="1" x14ac:dyDescent="0.3">
      <c r="A25" s="16"/>
    </row>
    <row r="26" spans="1:1" ht="18.75" customHeight="1" x14ac:dyDescent="0.3">
      <c r="A26" s="16"/>
    </row>
    <row r="27" spans="1:1" ht="18.75" customHeight="1" x14ac:dyDescent="0.3">
      <c r="A27" s="16"/>
    </row>
    <row r="28" spans="1:1" ht="18.75" customHeight="1" x14ac:dyDescent="0.3">
      <c r="A28" s="16"/>
    </row>
    <row r="29" spans="1:1" ht="18.75" customHeight="1" x14ac:dyDescent="0.3">
      <c r="A29" s="16"/>
    </row>
    <row r="30" spans="1:1" ht="18.75" customHeight="1" x14ac:dyDescent="0.3">
      <c r="A30" s="16"/>
    </row>
  </sheetData>
  <sortState ref="A11:E14">
    <sortCondition ref="A11:A14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9.140625" defaultRowHeight="14.25" x14ac:dyDescent="0.2"/>
  <cols>
    <col min="1" max="1" width="32.7109375" style="183" bestFit="1" customWidth="1"/>
    <col min="2" max="2" width="10.42578125" style="183" hidden="1" customWidth="1"/>
    <col min="3" max="3" width="10" style="183" hidden="1" customWidth="1"/>
    <col min="4" max="8" width="10.42578125" style="183" hidden="1" customWidth="1"/>
    <col min="9" max="16384" width="9.140625" style="183"/>
  </cols>
  <sheetData>
    <row r="1" spans="1:11" ht="18" customHeight="1" x14ac:dyDescent="0.3">
      <c r="A1" s="213" t="s">
        <v>492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ht="18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ht="18" customHeight="1" x14ac:dyDescent="0.3">
      <c r="A4" s="99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ht="24.95" hidden="1" customHeight="1" x14ac:dyDescent="0.3">
      <c r="A5" s="52" t="s">
        <v>87</v>
      </c>
      <c r="B5" s="40">
        <v>400</v>
      </c>
      <c r="C5" s="40">
        <v>700</v>
      </c>
      <c r="D5" s="40" t="s">
        <v>442</v>
      </c>
      <c r="E5" s="40" t="s">
        <v>442</v>
      </c>
      <c r="F5" s="644" t="s">
        <v>442</v>
      </c>
      <c r="G5" s="644" t="s">
        <v>442</v>
      </c>
      <c r="H5" s="644" t="s">
        <v>442</v>
      </c>
      <c r="I5" s="644" t="s">
        <v>442</v>
      </c>
      <c r="J5" s="644" t="s">
        <v>442</v>
      </c>
      <c r="K5" s="644" t="s">
        <v>442</v>
      </c>
    </row>
    <row r="6" spans="1:11" ht="24.95" customHeight="1" x14ac:dyDescent="0.3">
      <c r="A6" s="52" t="s">
        <v>88</v>
      </c>
      <c r="B6" s="40">
        <v>800</v>
      </c>
      <c r="C6" s="40">
        <v>800</v>
      </c>
      <c r="D6" s="40">
        <v>800</v>
      </c>
      <c r="E6" s="40">
        <v>800</v>
      </c>
      <c r="F6" s="644">
        <v>800</v>
      </c>
      <c r="G6" s="644">
        <v>800</v>
      </c>
      <c r="H6" s="644">
        <v>800</v>
      </c>
      <c r="I6" s="644">
        <v>1000</v>
      </c>
      <c r="J6" s="644">
        <v>1000</v>
      </c>
      <c r="K6" s="644">
        <v>1000</v>
      </c>
    </row>
    <row r="7" spans="1:11" ht="24.95" customHeight="1" x14ac:dyDescent="0.3">
      <c r="A7" s="52" t="s">
        <v>89</v>
      </c>
      <c r="B7" s="40">
        <v>700</v>
      </c>
      <c r="C7" s="40">
        <v>2600</v>
      </c>
      <c r="D7" s="40">
        <f>1700+1825</f>
        <v>3525</v>
      </c>
      <c r="E7" s="40">
        <f>1700+1825</f>
        <v>3525</v>
      </c>
      <c r="F7" s="644">
        <f>1700+1825</f>
        <v>3525</v>
      </c>
      <c r="G7" s="644">
        <f>1700+1825</f>
        <v>3525</v>
      </c>
      <c r="H7" s="644">
        <v>3600</v>
      </c>
      <c r="I7" s="644">
        <v>3600</v>
      </c>
      <c r="J7" s="644">
        <v>3600</v>
      </c>
      <c r="K7" s="644">
        <v>3600</v>
      </c>
    </row>
    <row r="8" spans="1:11" ht="24.95" hidden="1" customHeight="1" x14ac:dyDescent="0.3">
      <c r="A8" s="52" t="s">
        <v>90</v>
      </c>
      <c r="B8" s="60">
        <v>250</v>
      </c>
      <c r="C8" s="40" t="s">
        <v>442</v>
      </c>
      <c r="D8" s="40" t="s">
        <v>442</v>
      </c>
      <c r="E8" s="40" t="s">
        <v>442</v>
      </c>
      <c r="F8" s="644" t="s">
        <v>442</v>
      </c>
      <c r="G8" s="644" t="s">
        <v>442</v>
      </c>
      <c r="H8" s="644" t="s">
        <v>442</v>
      </c>
      <c r="I8" s="644" t="s">
        <v>442</v>
      </c>
      <c r="J8" s="644" t="s">
        <v>442</v>
      </c>
      <c r="K8" s="644" t="s">
        <v>442</v>
      </c>
    </row>
    <row r="9" spans="1:11" ht="24.95" customHeight="1" x14ac:dyDescent="0.3">
      <c r="A9" s="52" t="s">
        <v>441</v>
      </c>
      <c r="B9" s="60">
        <v>125</v>
      </c>
      <c r="C9" s="40" t="s">
        <v>442</v>
      </c>
      <c r="D9" s="60">
        <f>610+460</f>
        <v>1070</v>
      </c>
      <c r="E9" s="60">
        <f>610+460</f>
        <v>1070</v>
      </c>
      <c r="F9" s="633">
        <f>610+460</f>
        <v>1070</v>
      </c>
      <c r="G9" s="633">
        <f>610+460</f>
        <v>1070</v>
      </c>
      <c r="H9" s="633">
        <v>1200</v>
      </c>
      <c r="I9" s="633">
        <v>1400</v>
      </c>
      <c r="J9" s="633">
        <v>1400</v>
      </c>
      <c r="K9" s="633">
        <v>1400</v>
      </c>
    </row>
    <row r="10" spans="1:11" ht="24.95" customHeight="1" x14ac:dyDescent="0.3">
      <c r="A10" s="52" t="s">
        <v>509</v>
      </c>
      <c r="B10" s="60"/>
      <c r="C10" s="40"/>
      <c r="D10" s="60"/>
      <c r="E10" s="194">
        <v>255</v>
      </c>
      <c r="F10" s="634">
        <v>275</v>
      </c>
      <c r="G10" s="634">
        <v>275</v>
      </c>
      <c r="H10" s="634">
        <v>300</v>
      </c>
      <c r="I10" s="634">
        <v>500</v>
      </c>
      <c r="J10" s="634">
        <v>500</v>
      </c>
      <c r="K10" s="634">
        <v>600</v>
      </c>
    </row>
    <row r="11" spans="1:11" ht="24.95" customHeight="1" x14ac:dyDescent="0.3">
      <c r="A11" s="52" t="s">
        <v>711</v>
      </c>
      <c r="B11" s="60">
        <v>1000</v>
      </c>
      <c r="C11" s="60">
        <v>3400</v>
      </c>
      <c r="D11" s="60">
        <f>40*85</f>
        <v>3400</v>
      </c>
      <c r="E11" s="60">
        <f>40*85</f>
        <v>3400</v>
      </c>
      <c r="F11" s="633">
        <f>40*85</f>
        <v>3400</v>
      </c>
      <c r="G11" s="633">
        <f>40*85</f>
        <v>3400</v>
      </c>
      <c r="H11" s="633">
        <f>40*85</f>
        <v>3400</v>
      </c>
      <c r="I11" s="633">
        <f>45*55</f>
        <v>2475</v>
      </c>
      <c r="J11" s="633">
        <f>35*75</f>
        <v>2625</v>
      </c>
      <c r="K11" s="633">
        <f>35*75</f>
        <v>2625</v>
      </c>
    </row>
    <row r="12" spans="1:11" ht="24.95" customHeight="1" x14ac:dyDescent="0.3">
      <c r="A12" s="52" t="s">
        <v>858</v>
      </c>
      <c r="B12" s="60">
        <v>500</v>
      </c>
      <c r="C12" s="60">
        <v>2125</v>
      </c>
      <c r="D12" s="60">
        <f>25*85</f>
        <v>2125</v>
      </c>
      <c r="E12" s="60">
        <f>25*85</f>
        <v>2125</v>
      </c>
      <c r="F12" s="633">
        <f>20*85</f>
        <v>1700</v>
      </c>
      <c r="G12" s="633">
        <f>20*85</f>
        <v>1700</v>
      </c>
      <c r="H12" s="633">
        <f>20*85</f>
        <v>1700</v>
      </c>
      <c r="I12" s="633">
        <f>25*55</f>
        <v>1375</v>
      </c>
      <c r="J12" s="633">
        <f>25*55</f>
        <v>1375</v>
      </c>
      <c r="K12" s="633">
        <f>20*55</f>
        <v>1100</v>
      </c>
    </row>
    <row r="13" spans="1:11" ht="24.95" customHeight="1" x14ac:dyDescent="0.3">
      <c r="A13" s="64" t="s">
        <v>700</v>
      </c>
      <c r="B13" s="105">
        <v>100</v>
      </c>
      <c r="C13" s="105">
        <v>100</v>
      </c>
      <c r="D13" s="105">
        <v>150</v>
      </c>
      <c r="E13" s="105">
        <v>150</v>
      </c>
      <c r="F13" s="723">
        <v>150</v>
      </c>
      <c r="G13" s="723">
        <v>150</v>
      </c>
      <c r="H13" s="723">
        <v>150</v>
      </c>
      <c r="I13" s="723">
        <v>150</v>
      </c>
      <c r="J13" s="723">
        <v>225</v>
      </c>
      <c r="K13" s="723">
        <v>225</v>
      </c>
    </row>
    <row r="14" spans="1:11" ht="24.95" customHeight="1" x14ac:dyDescent="0.3">
      <c r="A14" s="64" t="s">
        <v>701</v>
      </c>
      <c r="B14" s="105"/>
      <c r="C14" s="105">
        <v>60</v>
      </c>
      <c r="D14" s="105"/>
      <c r="E14" s="105">
        <v>60</v>
      </c>
      <c r="F14" s="723">
        <v>60</v>
      </c>
      <c r="G14" s="723">
        <v>60</v>
      </c>
      <c r="H14" s="723">
        <v>60</v>
      </c>
      <c r="I14" s="723">
        <v>60</v>
      </c>
      <c r="J14" s="723">
        <v>70</v>
      </c>
      <c r="K14" s="723">
        <v>70</v>
      </c>
    </row>
    <row r="15" spans="1:11" ht="24.95" customHeight="1" x14ac:dyDescent="0.3">
      <c r="A15" s="64" t="s">
        <v>286</v>
      </c>
      <c r="B15" s="105">
        <v>70</v>
      </c>
      <c r="C15" s="105">
        <v>70</v>
      </c>
      <c r="D15" s="105">
        <v>70</v>
      </c>
      <c r="E15" s="105">
        <v>70</v>
      </c>
      <c r="F15" s="723">
        <v>70</v>
      </c>
      <c r="G15" s="723">
        <v>70</v>
      </c>
      <c r="H15" s="723">
        <v>70</v>
      </c>
      <c r="I15" s="723">
        <v>70</v>
      </c>
      <c r="J15" s="723">
        <v>70</v>
      </c>
      <c r="K15" s="723">
        <v>70</v>
      </c>
    </row>
    <row r="16" spans="1:11" ht="24.95" customHeight="1" x14ac:dyDescent="0.3">
      <c r="A16" s="64" t="s">
        <v>702</v>
      </c>
      <c r="B16" s="105">
        <v>50</v>
      </c>
      <c r="C16" s="105">
        <v>85</v>
      </c>
      <c r="D16" s="105">
        <v>85</v>
      </c>
      <c r="E16" s="105">
        <v>85</v>
      </c>
      <c r="F16" s="723">
        <v>85</v>
      </c>
      <c r="G16" s="723">
        <v>85</v>
      </c>
      <c r="H16" s="723">
        <v>85</v>
      </c>
      <c r="I16" s="723">
        <v>55</v>
      </c>
      <c r="J16" s="723">
        <v>55</v>
      </c>
      <c r="K16" s="723">
        <v>55</v>
      </c>
    </row>
    <row r="17" spans="1:12" ht="24.95" customHeight="1" x14ac:dyDescent="0.3">
      <c r="A17" s="64" t="s">
        <v>407</v>
      </c>
      <c r="B17" s="105"/>
      <c r="C17" s="105">
        <v>66</v>
      </c>
      <c r="D17" s="105">
        <f>70*2</f>
        <v>140</v>
      </c>
      <c r="E17" s="105">
        <f>70*2</f>
        <v>140</v>
      </c>
      <c r="F17" s="723">
        <f>70*2</f>
        <v>140</v>
      </c>
      <c r="G17" s="723">
        <f>70*2</f>
        <v>140</v>
      </c>
      <c r="H17" s="723">
        <f>70</f>
        <v>70</v>
      </c>
      <c r="I17" s="723">
        <v>70</v>
      </c>
      <c r="J17" s="723">
        <v>70</v>
      </c>
      <c r="K17" s="723">
        <v>70</v>
      </c>
      <c r="L17" s="183" t="s">
        <v>584</v>
      </c>
    </row>
    <row r="18" spans="1:12" ht="24.95" customHeight="1" x14ac:dyDescent="0.3">
      <c r="A18" s="64" t="s">
        <v>456</v>
      </c>
      <c r="B18" s="60"/>
      <c r="C18" s="60">
        <v>1500</v>
      </c>
      <c r="D18" s="60">
        <v>1500</v>
      </c>
      <c r="E18" s="60">
        <v>1600</v>
      </c>
      <c r="F18" s="634">
        <v>1600</v>
      </c>
      <c r="G18" s="634">
        <v>1600</v>
      </c>
      <c r="H18" s="634">
        <v>1700</v>
      </c>
      <c r="I18" s="634">
        <v>1800</v>
      </c>
      <c r="J18" s="634">
        <v>5200</v>
      </c>
      <c r="K18" s="634">
        <v>1800</v>
      </c>
    </row>
    <row r="19" spans="1:12" ht="24.95" customHeight="1" x14ac:dyDescent="0.3">
      <c r="A19" s="64" t="s">
        <v>633</v>
      </c>
      <c r="B19" s="60"/>
      <c r="C19" s="60"/>
      <c r="D19" s="60">
        <v>275</v>
      </c>
      <c r="E19" s="60">
        <v>300</v>
      </c>
      <c r="F19" s="633">
        <v>300</v>
      </c>
      <c r="G19" s="633">
        <v>300</v>
      </c>
      <c r="H19" s="633">
        <v>300</v>
      </c>
      <c r="I19" s="633">
        <v>300</v>
      </c>
      <c r="J19" s="633">
        <v>300</v>
      </c>
      <c r="K19" s="633">
        <v>300</v>
      </c>
    </row>
    <row r="20" spans="1:12" ht="24.95" customHeight="1" x14ac:dyDescent="0.3">
      <c r="A20" s="64"/>
      <c r="B20" s="60"/>
      <c r="C20" s="60"/>
      <c r="D20" s="60"/>
      <c r="E20" s="60"/>
      <c r="F20" s="633"/>
      <c r="G20" s="633"/>
      <c r="H20" s="633"/>
      <c r="I20" s="633"/>
      <c r="J20" s="633"/>
      <c r="K20" s="633"/>
    </row>
    <row r="21" spans="1:12" ht="24.95" customHeight="1" x14ac:dyDescent="0.3">
      <c r="A21" s="64"/>
      <c r="B21" s="442">
        <v>-1000</v>
      </c>
      <c r="C21" s="442"/>
      <c r="D21" s="442"/>
      <c r="E21" s="442"/>
      <c r="F21" s="635"/>
      <c r="G21" s="635"/>
      <c r="H21" s="635"/>
      <c r="I21" s="635"/>
      <c r="J21" s="635"/>
      <c r="K21" s="635"/>
    </row>
    <row r="22" spans="1:12" ht="24.95" customHeight="1" x14ac:dyDescent="0.3">
      <c r="A22" s="111" t="s">
        <v>158</v>
      </c>
      <c r="B22" s="370">
        <f t="shared" ref="B22:H22" si="0">SUM(B4:B21)</f>
        <v>2995</v>
      </c>
      <c r="C22" s="488">
        <f t="shared" si="0"/>
        <v>11506</v>
      </c>
      <c r="D22" s="488">
        <f t="shared" si="0"/>
        <v>13140</v>
      </c>
      <c r="E22" s="488">
        <f t="shared" si="0"/>
        <v>13580</v>
      </c>
      <c r="F22" s="428">
        <f t="shared" si="0"/>
        <v>13175</v>
      </c>
      <c r="G22" s="428">
        <f t="shared" ref="G22" si="1">SUM(G4:G21)</f>
        <v>13175</v>
      </c>
      <c r="H22" s="428">
        <f t="shared" si="0"/>
        <v>13435</v>
      </c>
      <c r="I22" s="708">
        <f t="shared" ref="I22:J22" si="2">SUM(I4:I21)</f>
        <v>12855</v>
      </c>
      <c r="J22" s="708">
        <f t="shared" si="2"/>
        <v>16490</v>
      </c>
      <c r="K22" s="708">
        <f t="shared" ref="K22" si="3">SUM(K4:K21)</f>
        <v>12915</v>
      </c>
    </row>
    <row r="23" spans="1:12" ht="18" customHeight="1" x14ac:dyDescent="0.3">
      <c r="A23" s="109"/>
      <c r="B23" s="109"/>
      <c r="C23" s="109"/>
      <c r="D23" s="109"/>
    </row>
    <row r="24" spans="1:12" ht="18" customHeight="1" x14ac:dyDescent="0.3">
      <c r="A24" s="109" t="s">
        <v>859</v>
      </c>
      <c r="B24" s="109"/>
      <c r="C24" s="109"/>
      <c r="D24" s="109"/>
    </row>
    <row r="25" spans="1:12" ht="18" customHeight="1" x14ac:dyDescent="0.3">
      <c r="A25" s="109"/>
      <c r="B25" s="109"/>
      <c r="C25" s="109"/>
      <c r="D25" s="109"/>
    </row>
    <row r="26" spans="1:12" ht="18" customHeight="1" x14ac:dyDescent="0.3">
      <c r="A26" s="109"/>
      <c r="B26" s="109"/>
      <c r="C26" s="109"/>
      <c r="D26" s="109"/>
    </row>
    <row r="27" spans="1:12" ht="18" customHeight="1" x14ac:dyDescent="0.3">
      <c r="A27" s="109"/>
      <c r="B27" s="109"/>
      <c r="C27" s="109"/>
      <c r="D27" s="109"/>
    </row>
    <row r="28" spans="1:12" ht="18" customHeight="1" x14ac:dyDescent="0.3">
      <c r="A28" s="109"/>
      <c r="B28" s="109"/>
      <c r="C28" s="109"/>
      <c r="D28" s="109"/>
    </row>
    <row r="29" spans="1:12" ht="16.5" x14ac:dyDescent="0.3">
      <c r="A29" s="109"/>
      <c r="B29" s="109"/>
      <c r="C29" s="109"/>
      <c r="D29" s="109"/>
    </row>
    <row r="30" spans="1:12" ht="16.5" x14ac:dyDescent="0.3">
      <c r="A30" s="109"/>
      <c r="B30" s="109"/>
      <c r="C30" s="109"/>
      <c r="D30" s="109"/>
    </row>
    <row r="31" spans="1:12" ht="16.5" x14ac:dyDescent="0.3">
      <c r="A31" s="109"/>
      <c r="B31" s="109"/>
      <c r="C31" s="109"/>
      <c r="D31" s="109"/>
    </row>
  </sheetData>
  <sortState ref="A13:E16">
    <sortCondition ref="A13:A16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ColWidth="9.140625" defaultRowHeight="16.5" x14ac:dyDescent="0.3"/>
  <cols>
    <col min="1" max="1" width="26.42578125" style="109" bestFit="1" customWidth="1"/>
    <col min="2" max="4" width="11.7109375" style="109" hidden="1" customWidth="1"/>
    <col min="5" max="8" width="10.28515625" style="109" hidden="1" customWidth="1"/>
    <col min="9" max="16384" width="9.140625" style="109"/>
  </cols>
  <sheetData>
    <row r="1" spans="1:11" ht="18" customHeight="1" x14ac:dyDescent="0.3">
      <c r="A1" s="213" t="s">
        <v>10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ht="18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ht="18" customHeight="1" x14ac:dyDescent="0.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4.75" customHeight="1" x14ac:dyDescent="0.3">
      <c r="A5" s="113" t="s">
        <v>11</v>
      </c>
      <c r="B5" s="40"/>
      <c r="C5" s="40"/>
      <c r="D5" s="40"/>
      <c r="E5" s="40"/>
      <c r="F5" s="644"/>
      <c r="G5" s="644"/>
      <c r="H5" s="644"/>
      <c r="I5" s="644"/>
      <c r="J5" s="644"/>
      <c r="K5" s="644"/>
    </row>
    <row r="6" spans="1:11" ht="18" hidden="1" customHeight="1" x14ac:dyDescent="0.3">
      <c r="A6" s="52" t="s">
        <v>99</v>
      </c>
      <c r="B6" s="40">
        <v>200</v>
      </c>
      <c r="C6" s="40">
        <v>100</v>
      </c>
      <c r="D6" s="40">
        <v>100</v>
      </c>
      <c r="E6" s="40">
        <v>200</v>
      </c>
      <c r="F6" s="644">
        <v>200</v>
      </c>
      <c r="G6" s="644">
        <v>0</v>
      </c>
      <c r="H6" s="644">
        <v>0</v>
      </c>
      <c r="I6" s="644">
        <v>0</v>
      </c>
      <c r="J6" s="644">
        <v>0</v>
      </c>
      <c r="K6" s="644">
        <v>0</v>
      </c>
    </row>
    <row r="7" spans="1:11" ht="18" hidden="1" customHeight="1" x14ac:dyDescent="0.3">
      <c r="A7" s="52" t="s">
        <v>13</v>
      </c>
      <c r="B7" s="40">
        <v>300</v>
      </c>
      <c r="C7" s="40">
        <v>100</v>
      </c>
      <c r="D7" s="40">
        <v>100</v>
      </c>
      <c r="E7" s="40">
        <v>0</v>
      </c>
      <c r="F7" s="644">
        <v>0</v>
      </c>
      <c r="G7" s="644">
        <v>0</v>
      </c>
      <c r="H7" s="644">
        <v>0</v>
      </c>
      <c r="I7" s="644">
        <v>0</v>
      </c>
      <c r="J7" s="644">
        <v>0</v>
      </c>
      <c r="K7" s="644">
        <v>0</v>
      </c>
    </row>
    <row r="8" spans="1:11" ht="18" customHeight="1" x14ac:dyDescent="0.3">
      <c r="A8" s="52" t="s">
        <v>634</v>
      </c>
      <c r="B8" s="40">
        <v>200</v>
      </c>
      <c r="C8" s="40">
        <v>100</v>
      </c>
      <c r="D8" s="40">
        <v>100</v>
      </c>
      <c r="E8" s="40">
        <v>100</v>
      </c>
      <c r="F8" s="644">
        <v>100</v>
      </c>
      <c r="G8" s="644">
        <v>400</v>
      </c>
      <c r="H8" s="644">
        <v>400</v>
      </c>
      <c r="I8" s="644">
        <v>450</v>
      </c>
      <c r="J8" s="644">
        <v>450</v>
      </c>
      <c r="K8" s="644">
        <v>450</v>
      </c>
    </row>
    <row r="9" spans="1:11" ht="18" customHeight="1" x14ac:dyDescent="0.3">
      <c r="A9" s="52" t="s">
        <v>774</v>
      </c>
      <c r="B9" s="40">
        <v>1400</v>
      </c>
      <c r="C9" s="40"/>
      <c r="D9" s="40"/>
      <c r="E9" s="40"/>
      <c r="F9" s="644"/>
      <c r="G9" s="644"/>
      <c r="H9" s="644"/>
      <c r="I9" s="644"/>
      <c r="J9" s="644">
        <f>((70*3)+5980+50)+(930+50)+(1305+50)</f>
        <v>8575</v>
      </c>
      <c r="K9" s="644">
        <v>0</v>
      </c>
    </row>
    <row r="10" spans="1:11" ht="27.75" hidden="1" customHeight="1" x14ac:dyDescent="0.3">
      <c r="A10" s="114" t="s">
        <v>14</v>
      </c>
      <c r="B10" s="40"/>
      <c r="C10" s="40"/>
      <c r="D10" s="40"/>
      <c r="E10" s="40"/>
      <c r="F10" s="644"/>
      <c r="G10" s="644"/>
      <c r="H10" s="644"/>
      <c r="I10" s="644"/>
      <c r="J10" s="644"/>
      <c r="K10" s="644"/>
    </row>
    <row r="11" spans="1:11" ht="18" hidden="1" customHeight="1" x14ac:dyDescent="0.3">
      <c r="A11" s="52" t="s">
        <v>15</v>
      </c>
      <c r="B11" s="60"/>
      <c r="C11" s="60"/>
      <c r="D11" s="60"/>
      <c r="E11" s="60"/>
      <c r="F11" s="633"/>
      <c r="G11" s="633"/>
      <c r="H11" s="633"/>
      <c r="I11" s="633"/>
      <c r="J11" s="633"/>
      <c r="K11" s="633"/>
    </row>
    <row r="12" spans="1:11" ht="18" hidden="1" customHeight="1" x14ac:dyDescent="0.3">
      <c r="A12" s="443" t="s">
        <v>385</v>
      </c>
      <c r="B12" s="60">
        <v>1000</v>
      </c>
      <c r="C12" s="60"/>
      <c r="D12" s="60"/>
      <c r="E12" s="60"/>
      <c r="F12" s="633"/>
      <c r="G12" s="633"/>
      <c r="H12" s="633"/>
      <c r="I12" s="633"/>
      <c r="J12" s="633"/>
      <c r="K12" s="633"/>
    </row>
    <row r="13" spans="1:11" ht="18" customHeight="1" x14ac:dyDescent="0.3">
      <c r="A13" s="443" t="s">
        <v>773</v>
      </c>
      <c r="B13" s="60"/>
      <c r="C13" s="60"/>
      <c r="D13" s="60"/>
      <c r="E13" s="60"/>
      <c r="F13" s="633"/>
      <c r="G13" s="633"/>
      <c r="H13" s="633"/>
      <c r="I13" s="633"/>
      <c r="J13" s="633">
        <v>2500</v>
      </c>
      <c r="K13" s="633">
        <v>2800</v>
      </c>
    </row>
    <row r="14" spans="1:11" ht="18" customHeight="1" x14ac:dyDescent="0.3">
      <c r="A14" s="52"/>
      <c r="B14" s="60"/>
      <c r="C14" s="60"/>
      <c r="D14" s="60"/>
      <c r="E14" s="60"/>
      <c r="F14" s="633"/>
      <c r="G14" s="633"/>
      <c r="H14" s="633"/>
      <c r="I14" s="633"/>
      <c r="J14" s="633"/>
      <c r="K14" s="633"/>
    </row>
    <row r="15" spans="1:11" ht="18" customHeight="1" x14ac:dyDescent="0.3">
      <c r="A15" s="52"/>
      <c r="B15" s="105"/>
      <c r="C15" s="105"/>
      <c r="D15" s="105"/>
      <c r="E15" s="105"/>
      <c r="F15" s="723"/>
      <c r="G15" s="723"/>
      <c r="H15" s="723"/>
      <c r="I15" s="723"/>
      <c r="J15" s="723"/>
      <c r="K15" s="723"/>
    </row>
    <row r="16" spans="1:11" ht="18" customHeight="1" x14ac:dyDescent="0.3">
      <c r="A16" s="52"/>
      <c r="B16" s="105"/>
      <c r="C16" s="105"/>
      <c r="D16" s="105"/>
      <c r="E16" s="105"/>
      <c r="F16" s="723"/>
      <c r="G16" s="723"/>
      <c r="H16" s="723"/>
      <c r="I16" s="723"/>
      <c r="J16" s="723"/>
      <c r="K16" s="723"/>
    </row>
    <row r="17" spans="1:11" ht="18" customHeight="1" thickBot="1" x14ac:dyDescent="0.35">
      <c r="A17" s="395"/>
      <c r="B17" s="105">
        <v>-3076.78</v>
      </c>
      <c r="C17" s="105">
        <v>-550</v>
      </c>
      <c r="D17" s="105"/>
      <c r="E17" s="105"/>
      <c r="F17" s="723"/>
      <c r="G17" s="723"/>
      <c r="H17" s="723"/>
      <c r="I17" s="723"/>
      <c r="J17" s="723"/>
      <c r="K17" s="723"/>
    </row>
    <row r="18" spans="1:11" ht="18" customHeight="1" thickTop="1" x14ac:dyDescent="0.3">
      <c r="A18" s="111" t="s">
        <v>158</v>
      </c>
      <c r="B18" s="110">
        <f t="shared" ref="B18:H18" si="0">SUM(B4:B17)</f>
        <v>23.2199999999998</v>
      </c>
      <c r="C18" s="110">
        <f t="shared" si="0"/>
        <v>-250</v>
      </c>
      <c r="D18" s="110">
        <f t="shared" si="0"/>
        <v>300</v>
      </c>
      <c r="E18" s="110">
        <f t="shared" si="0"/>
        <v>300</v>
      </c>
      <c r="F18" s="724">
        <f t="shared" si="0"/>
        <v>300</v>
      </c>
      <c r="G18" s="724">
        <f t="shared" ref="G18" si="1">SUM(G4:G17)</f>
        <v>400</v>
      </c>
      <c r="H18" s="724">
        <f t="shared" si="0"/>
        <v>400</v>
      </c>
      <c r="I18" s="724">
        <f t="shared" ref="I18:J18" si="2">SUM(I4:I17)</f>
        <v>450</v>
      </c>
      <c r="J18" s="724">
        <f t="shared" si="2"/>
        <v>11525</v>
      </c>
      <c r="K18" s="724">
        <f t="shared" ref="K18" si="3">SUM(K4:K17)</f>
        <v>3250</v>
      </c>
    </row>
    <row r="19" spans="1:11" ht="18" customHeight="1" x14ac:dyDescent="0.3"/>
    <row r="20" spans="1:11" ht="18" customHeight="1" x14ac:dyDescent="0.3"/>
    <row r="21" spans="1:11" ht="18" customHeight="1" x14ac:dyDescent="0.3"/>
    <row r="22" spans="1:11" ht="18" customHeight="1" x14ac:dyDescent="0.3"/>
    <row r="23" spans="1:11" ht="18" customHeight="1" x14ac:dyDescent="0.3"/>
    <row r="24" spans="1:11" ht="18" customHeight="1" x14ac:dyDescent="0.3"/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50.7109375" style="95" customWidth="1"/>
    <col min="2" max="2" width="10.7109375" style="26" hidden="1" customWidth="1"/>
    <col min="3" max="8" width="10.7109375" style="25" hidden="1" customWidth="1"/>
    <col min="9" max="11" width="9.5703125" style="25" bestFit="1" customWidth="1"/>
    <col min="12" max="16384" width="9.140625" style="25"/>
  </cols>
  <sheetData>
    <row r="1" spans="1:11" s="44" customFormat="1" ht="18.75" customHeight="1" x14ac:dyDescent="0.3">
      <c r="A1" s="213" t="s">
        <v>188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99"/>
      <c r="B4" s="218"/>
      <c r="C4" s="218"/>
      <c r="D4" s="218"/>
      <c r="E4" s="218"/>
      <c r="F4" s="715"/>
      <c r="G4" s="715"/>
      <c r="H4" s="715"/>
      <c r="I4" s="715"/>
      <c r="J4" s="715"/>
      <c r="K4" s="715"/>
    </row>
    <row r="5" spans="1:11" s="121" customFormat="1" ht="18.75" customHeight="1" x14ac:dyDescent="0.3">
      <c r="A5" s="61" t="s">
        <v>120</v>
      </c>
      <c r="B5" s="47">
        <v>2000</v>
      </c>
      <c r="C5" s="47">
        <v>5000</v>
      </c>
      <c r="D5" s="47">
        <v>6000</v>
      </c>
      <c r="E5" s="47">
        <v>6000</v>
      </c>
      <c r="F5" s="696">
        <v>6000</v>
      </c>
      <c r="G5" s="696">
        <v>7000</v>
      </c>
      <c r="H5" s="696">
        <v>7000</v>
      </c>
      <c r="I5" s="696">
        <v>6000</v>
      </c>
      <c r="J5" s="696">
        <v>6000</v>
      </c>
      <c r="K5" s="696">
        <v>5000</v>
      </c>
    </row>
    <row r="6" spans="1:11" s="121" customFormat="1" ht="18.75" customHeight="1" x14ac:dyDescent="0.3">
      <c r="A6" s="61" t="s">
        <v>514</v>
      </c>
      <c r="B6" s="47">
        <v>4000</v>
      </c>
      <c r="C6" s="47">
        <v>4600</v>
      </c>
      <c r="D6" s="533">
        <f>(199*2*2)+(646*2*3)</f>
        <v>4672</v>
      </c>
      <c r="E6" s="533">
        <f>(199*2*2)+(646*2*3)+2000</f>
        <v>6672</v>
      </c>
      <c r="F6" s="689">
        <v>7000</v>
      </c>
      <c r="G6" s="689">
        <v>7000</v>
      </c>
      <c r="H6" s="689">
        <v>7000</v>
      </c>
      <c r="I6" s="689">
        <v>7200</v>
      </c>
      <c r="J6" s="689">
        <v>7200</v>
      </c>
      <c r="K6" s="689">
        <v>7200</v>
      </c>
    </row>
    <row r="7" spans="1:11" s="121" customFormat="1" ht="18.75" customHeight="1" x14ac:dyDescent="0.3">
      <c r="A7" s="61" t="s">
        <v>121</v>
      </c>
      <c r="B7" s="47">
        <v>800</v>
      </c>
      <c r="C7" s="47">
        <v>850</v>
      </c>
      <c r="D7" s="533">
        <f>(95*4*2)+80</f>
        <v>840</v>
      </c>
      <c r="E7" s="533">
        <f>(175*4)+100</f>
        <v>800</v>
      </c>
      <c r="F7" s="689">
        <f t="shared" ref="F7:K7" si="0">(95*4)+(80*4)+200</f>
        <v>900</v>
      </c>
      <c r="G7" s="689">
        <f t="shared" si="0"/>
        <v>900</v>
      </c>
      <c r="H7" s="689">
        <f t="shared" si="0"/>
        <v>900</v>
      </c>
      <c r="I7" s="689">
        <f t="shared" si="0"/>
        <v>900</v>
      </c>
      <c r="J7" s="689">
        <f t="shared" si="0"/>
        <v>900</v>
      </c>
      <c r="K7" s="689">
        <f t="shared" si="0"/>
        <v>900</v>
      </c>
    </row>
    <row r="8" spans="1:11" s="121" customFormat="1" ht="18.75" hidden="1" customHeight="1" x14ac:dyDescent="0.3">
      <c r="A8" s="229" t="s">
        <v>208</v>
      </c>
      <c r="B8" s="763">
        <v>8000</v>
      </c>
      <c r="C8" s="763">
        <v>8100</v>
      </c>
      <c r="D8" s="763">
        <f>(660*12)</f>
        <v>7920</v>
      </c>
      <c r="E8" s="763">
        <v>0</v>
      </c>
      <c r="F8" s="751"/>
      <c r="G8" s="751"/>
      <c r="H8" s="751"/>
      <c r="I8" s="751"/>
      <c r="J8" s="751"/>
      <c r="K8" s="751"/>
    </row>
    <row r="9" spans="1:11" s="121" customFormat="1" ht="18.75" customHeight="1" x14ac:dyDescent="0.3">
      <c r="A9" s="61" t="s">
        <v>33</v>
      </c>
      <c r="B9" s="47">
        <v>50</v>
      </c>
      <c r="C9" s="47">
        <v>100</v>
      </c>
      <c r="D9" s="47">
        <v>250</v>
      </c>
      <c r="E9" s="47">
        <v>500</v>
      </c>
      <c r="F9" s="696">
        <v>500</v>
      </c>
      <c r="G9" s="696">
        <v>500</v>
      </c>
      <c r="H9" s="696">
        <v>500</v>
      </c>
      <c r="I9" s="696">
        <v>500</v>
      </c>
      <c r="J9" s="696">
        <v>500</v>
      </c>
      <c r="K9" s="696">
        <v>500</v>
      </c>
    </row>
    <row r="10" spans="1:11" s="121" customFormat="1" ht="18.75" customHeight="1" x14ac:dyDescent="0.3">
      <c r="A10" s="61" t="s">
        <v>515</v>
      </c>
      <c r="B10" s="47">
        <v>750</v>
      </c>
      <c r="C10" s="47">
        <v>500</v>
      </c>
      <c r="D10" s="47">
        <v>6000</v>
      </c>
      <c r="E10" s="47">
        <v>1200</v>
      </c>
      <c r="F10" s="696">
        <v>1200</v>
      </c>
      <c r="G10" s="696">
        <v>600</v>
      </c>
      <c r="H10" s="696">
        <v>600</v>
      </c>
      <c r="I10" s="696">
        <v>900</v>
      </c>
      <c r="J10" s="696">
        <v>800</v>
      </c>
      <c r="K10" s="696">
        <v>800</v>
      </c>
    </row>
    <row r="11" spans="1:11" s="121" customFormat="1" ht="18.75" customHeight="1" x14ac:dyDescent="0.3">
      <c r="A11" s="61" t="s">
        <v>122</v>
      </c>
      <c r="B11" s="47">
        <v>3000</v>
      </c>
      <c r="C11" s="47">
        <v>9000</v>
      </c>
      <c r="D11" s="47">
        <v>10000</v>
      </c>
      <c r="E11" s="47">
        <v>10000</v>
      </c>
      <c r="F11" s="696">
        <v>10000</v>
      </c>
      <c r="G11" s="696">
        <v>17000</v>
      </c>
      <c r="H11" s="696">
        <v>18000</v>
      </c>
      <c r="I11" s="696">
        <v>18000</v>
      </c>
      <c r="J11" s="696">
        <v>18000</v>
      </c>
      <c r="K11" s="696">
        <v>18000</v>
      </c>
    </row>
    <row r="12" spans="1:11" s="121" customFormat="1" ht="18.75" customHeight="1" x14ac:dyDescent="0.3">
      <c r="A12" s="61" t="s">
        <v>119</v>
      </c>
      <c r="B12" s="47">
        <v>3000</v>
      </c>
      <c r="C12" s="47">
        <v>8000</v>
      </c>
      <c r="D12" s="47">
        <v>8000</v>
      </c>
      <c r="E12" s="47">
        <v>8000</v>
      </c>
      <c r="F12" s="696">
        <v>8000</v>
      </c>
      <c r="G12" s="696">
        <v>8000</v>
      </c>
      <c r="H12" s="696">
        <v>8000</v>
      </c>
      <c r="I12" s="696">
        <v>8500</v>
      </c>
      <c r="J12" s="696">
        <v>8000</v>
      </c>
      <c r="K12" s="696">
        <v>8000</v>
      </c>
    </row>
    <row r="13" spans="1:11" s="121" customFormat="1" ht="18.75" hidden="1" customHeight="1" x14ac:dyDescent="0.3">
      <c r="A13" s="229" t="s">
        <v>244</v>
      </c>
      <c r="B13" s="765">
        <v>1200</v>
      </c>
      <c r="C13" s="765">
        <v>1800</v>
      </c>
      <c r="D13" s="765">
        <f>150*12</f>
        <v>1800</v>
      </c>
      <c r="E13" s="765">
        <v>0</v>
      </c>
      <c r="F13" s="766"/>
      <c r="G13" s="766"/>
      <c r="H13" s="766"/>
      <c r="I13" s="766"/>
      <c r="J13" s="766"/>
      <c r="K13" s="766"/>
    </row>
    <row r="14" spans="1:11" ht="18" customHeight="1" x14ac:dyDescent="0.3">
      <c r="A14" s="230" t="s">
        <v>443</v>
      </c>
      <c r="B14" s="533">
        <v>800</v>
      </c>
      <c r="C14" s="533">
        <v>720</v>
      </c>
      <c r="D14" s="533">
        <f>(30*2*12)</f>
        <v>720</v>
      </c>
      <c r="E14" s="533">
        <f>(25*2*12)</f>
        <v>600</v>
      </c>
      <c r="F14" s="689">
        <v>600</v>
      </c>
      <c r="G14" s="689">
        <v>600</v>
      </c>
      <c r="H14" s="689">
        <f>64*12*2</f>
        <v>1536</v>
      </c>
      <c r="I14" s="689">
        <f>65*12*2</f>
        <v>1560</v>
      </c>
      <c r="J14" s="689">
        <f>70*12*2</f>
        <v>1680</v>
      </c>
      <c r="K14" s="689">
        <f>70*12*2</f>
        <v>1680</v>
      </c>
    </row>
    <row r="15" spans="1:11" ht="18.75" customHeight="1" x14ac:dyDescent="0.3">
      <c r="A15" s="229" t="s">
        <v>656</v>
      </c>
      <c r="B15" s="763">
        <v>625</v>
      </c>
      <c r="C15" s="763">
        <v>625</v>
      </c>
      <c r="D15" s="763">
        <v>650</v>
      </c>
      <c r="E15" s="763">
        <v>625</v>
      </c>
      <c r="F15" s="751">
        <v>700</v>
      </c>
      <c r="G15" s="751">
        <v>700</v>
      </c>
      <c r="H15" s="751">
        <v>700</v>
      </c>
      <c r="I15" s="751">
        <v>700</v>
      </c>
      <c r="J15" s="751">
        <v>750</v>
      </c>
      <c r="K15" s="751">
        <v>700</v>
      </c>
    </row>
    <row r="16" spans="1:11" ht="18.75" customHeight="1" x14ac:dyDescent="0.3">
      <c r="A16" s="246" t="s">
        <v>494</v>
      </c>
      <c r="B16" s="607"/>
      <c r="C16" s="607">
        <v>2000</v>
      </c>
      <c r="D16" s="607">
        <v>2000</v>
      </c>
      <c r="E16" s="607">
        <v>6000</v>
      </c>
      <c r="F16" s="692">
        <v>1200</v>
      </c>
      <c r="G16" s="692">
        <v>1200</v>
      </c>
      <c r="H16" s="692">
        <v>1200</v>
      </c>
      <c r="I16" s="692">
        <v>1400</v>
      </c>
      <c r="J16" s="692">
        <v>1500</v>
      </c>
      <c r="K16" s="692">
        <v>1500</v>
      </c>
    </row>
    <row r="17" spans="1:11" ht="18.75" customHeight="1" x14ac:dyDescent="0.3">
      <c r="A17" s="246" t="s">
        <v>386</v>
      </c>
      <c r="B17" s="607"/>
      <c r="C17" s="607">
        <v>1200</v>
      </c>
      <c r="D17" s="607">
        <v>1500</v>
      </c>
      <c r="E17" s="607">
        <v>1500</v>
      </c>
      <c r="F17" s="692">
        <v>1500</v>
      </c>
      <c r="G17" s="692">
        <v>1500</v>
      </c>
      <c r="H17" s="692">
        <v>1500</v>
      </c>
      <c r="I17" s="692">
        <v>1500</v>
      </c>
      <c r="J17" s="692">
        <v>1500</v>
      </c>
      <c r="K17" s="692">
        <v>1500</v>
      </c>
    </row>
    <row r="18" spans="1:11" ht="18.75" hidden="1" customHeight="1" x14ac:dyDescent="0.3">
      <c r="A18" s="246" t="s">
        <v>387</v>
      </c>
      <c r="B18" s="607"/>
      <c r="C18" s="607">
        <v>0</v>
      </c>
      <c r="D18" s="607">
        <v>0</v>
      </c>
      <c r="E18" s="607">
        <v>0</v>
      </c>
      <c r="F18" s="692"/>
      <c r="G18" s="692"/>
      <c r="H18" s="692"/>
      <c r="I18" s="692"/>
      <c r="J18" s="692"/>
      <c r="K18" s="692"/>
    </row>
    <row r="19" spans="1:11" ht="18.75" hidden="1" customHeight="1" x14ac:dyDescent="0.3">
      <c r="A19" s="246" t="s">
        <v>388</v>
      </c>
      <c r="B19" s="607"/>
      <c r="C19" s="607">
        <v>0</v>
      </c>
      <c r="D19" s="607">
        <v>0</v>
      </c>
      <c r="E19" s="607">
        <v>0</v>
      </c>
      <c r="F19" s="692"/>
      <c r="G19" s="692"/>
      <c r="H19" s="692"/>
      <c r="I19" s="692"/>
      <c r="J19" s="692"/>
      <c r="K19" s="692"/>
    </row>
    <row r="20" spans="1:11" ht="18.75" hidden="1" customHeight="1" x14ac:dyDescent="0.3">
      <c r="A20" s="246" t="s">
        <v>518</v>
      </c>
      <c r="B20" s="767"/>
      <c r="C20" s="763">
        <v>0</v>
      </c>
      <c r="D20" s="763">
        <f>300*18</f>
        <v>5400</v>
      </c>
      <c r="E20" s="763">
        <f>1200*8</f>
        <v>9600</v>
      </c>
      <c r="F20" s="751"/>
      <c r="G20" s="751"/>
      <c r="H20" s="751"/>
      <c r="I20" s="751"/>
      <c r="J20" s="751"/>
      <c r="K20" s="751"/>
    </row>
    <row r="21" spans="1:11" ht="18.75" hidden="1" customHeight="1" x14ac:dyDescent="0.3">
      <c r="A21" s="246" t="s">
        <v>516</v>
      </c>
      <c r="B21" s="767"/>
      <c r="C21" s="763">
        <v>0</v>
      </c>
      <c r="D21" s="763">
        <v>0</v>
      </c>
      <c r="E21" s="763">
        <f>550+500</f>
        <v>1050</v>
      </c>
      <c r="F21" s="751">
        <v>1100</v>
      </c>
      <c r="G21" s="751">
        <v>0</v>
      </c>
      <c r="H21" s="751">
        <v>0</v>
      </c>
      <c r="I21" s="751">
        <v>0</v>
      </c>
      <c r="J21" s="751">
        <v>0</v>
      </c>
      <c r="K21" s="751">
        <v>0</v>
      </c>
    </row>
    <row r="22" spans="1:11" ht="18.75" hidden="1" customHeight="1" x14ac:dyDescent="0.3">
      <c r="A22" s="246" t="s">
        <v>457</v>
      </c>
      <c r="B22" s="767"/>
      <c r="C22" s="763">
        <v>0</v>
      </c>
      <c r="D22" s="763">
        <v>0</v>
      </c>
      <c r="E22" s="763">
        <f>500+564</f>
        <v>1064</v>
      </c>
      <c r="F22" s="751">
        <v>1100</v>
      </c>
      <c r="G22" s="751">
        <v>0</v>
      </c>
      <c r="H22" s="751">
        <v>0</v>
      </c>
      <c r="I22" s="751">
        <v>0</v>
      </c>
      <c r="J22" s="751">
        <v>0</v>
      </c>
      <c r="K22" s="751">
        <v>0</v>
      </c>
    </row>
    <row r="23" spans="1:11" ht="18.75" customHeight="1" x14ac:dyDescent="0.3">
      <c r="A23" s="246" t="s">
        <v>493</v>
      </c>
      <c r="B23" s="767"/>
      <c r="C23" s="763"/>
      <c r="D23" s="763"/>
      <c r="E23" s="763">
        <v>12000</v>
      </c>
      <c r="F23" s="751">
        <v>16000</v>
      </c>
      <c r="G23" s="751">
        <v>16000</v>
      </c>
      <c r="H23" s="751">
        <v>16000</v>
      </c>
      <c r="I23" s="751">
        <v>6000</v>
      </c>
      <c r="J23" s="751">
        <v>6000</v>
      </c>
      <c r="K23" s="751">
        <v>0</v>
      </c>
    </row>
    <row r="24" spans="1:11" ht="18.75" customHeight="1" x14ac:dyDescent="0.3">
      <c r="A24" s="246" t="s">
        <v>517</v>
      </c>
      <c r="B24" s="767"/>
      <c r="C24" s="763"/>
      <c r="D24" s="763"/>
      <c r="E24" s="763">
        <f>300*4</f>
        <v>1200</v>
      </c>
      <c r="F24" s="751">
        <v>1200</v>
      </c>
      <c r="G24" s="751">
        <v>1200</v>
      </c>
      <c r="H24" s="751">
        <v>1200</v>
      </c>
      <c r="I24" s="751">
        <v>1400</v>
      </c>
      <c r="J24" s="751">
        <v>1500</v>
      </c>
      <c r="K24" s="751">
        <v>1600</v>
      </c>
    </row>
    <row r="25" spans="1:11" ht="18.75" hidden="1" customHeight="1" x14ac:dyDescent="0.3">
      <c r="A25" s="246" t="s">
        <v>529</v>
      </c>
      <c r="B25" s="768"/>
      <c r="C25" s="607"/>
      <c r="D25" s="607"/>
      <c r="E25" s="607"/>
      <c r="F25" s="692">
        <v>20000</v>
      </c>
      <c r="G25" s="692">
        <v>0</v>
      </c>
      <c r="H25" s="692">
        <v>0</v>
      </c>
      <c r="I25" s="692">
        <v>0</v>
      </c>
      <c r="J25" s="692">
        <v>0</v>
      </c>
      <c r="K25" s="692">
        <v>0</v>
      </c>
    </row>
    <row r="26" spans="1:11" ht="18.75" hidden="1" customHeight="1" x14ac:dyDescent="0.3">
      <c r="A26" s="246" t="s">
        <v>535</v>
      </c>
      <c r="B26" s="768"/>
      <c r="C26" s="607"/>
      <c r="D26" s="607"/>
      <c r="E26" s="607"/>
      <c r="F26" s="692">
        <v>1800</v>
      </c>
      <c r="G26" s="692">
        <v>0</v>
      </c>
      <c r="H26" s="692">
        <v>0</v>
      </c>
      <c r="I26" s="692">
        <v>0</v>
      </c>
      <c r="J26" s="692">
        <v>0</v>
      </c>
      <c r="K26" s="692">
        <v>0</v>
      </c>
    </row>
    <row r="27" spans="1:11" ht="18.75" customHeight="1" x14ac:dyDescent="0.3">
      <c r="A27" s="246" t="s">
        <v>850</v>
      </c>
      <c r="B27" s="768"/>
      <c r="C27" s="607"/>
      <c r="D27" s="607"/>
      <c r="E27" s="607"/>
      <c r="F27" s="692">
        <v>3600</v>
      </c>
      <c r="G27" s="692">
        <v>30000</v>
      </c>
      <c r="H27" s="692">
        <v>35000</v>
      </c>
      <c r="I27" s="692">
        <v>0</v>
      </c>
      <c r="J27" s="692">
        <v>0</v>
      </c>
      <c r="K27" s="692">
        <v>25000</v>
      </c>
    </row>
    <row r="28" spans="1:11" ht="18.75" customHeight="1" x14ac:dyDescent="0.3">
      <c r="A28" s="246" t="s">
        <v>703</v>
      </c>
      <c r="B28" s="768"/>
      <c r="C28" s="607"/>
      <c r="D28" s="607"/>
      <c r="E28" s="607"/>
      <c r="F28" s="692">
        <v>5000</v>
      </c>
      <c r="G28" s="692">
        <v>5000</v>
      </c>
      <c r="H28" s="692">
        <v>5000</v>
      </c>
      <c r="I28" s="692">
        <v>5000</v>
      </c>
      <c r="J28" s="692">
        <v>2000</v>
      </c>
      <c r="K28" s="692">
        <v>2000</v>
      </c>
    </row>
    <row r="29" spans="1:11" ht="18.75" hidden="1" customHeight="1" x14ac:dyDescent="0.3">
      <c r="A29" s="246" t="s">
        <v>635</v>
      </c>
      <c r="B29" s="768"/>
      <c r="C29" s="607"/>
      <c r="D29" s="607"/>
      <c r="E29" s="607"/>
      <c r="F29" s="692">
        <v>0</v>
      </c>
      <c r="G29" s="692">
        <v>5000</v>
      </c>
      <c r="H29" s="692">
        <v>0</v>
      </c>
      <c r="I29" s="692">
        <v>10000</v>
      </c>
      <c r="J29" s="692">
        <v>0</v>
      </c>
      <c r="K29" s="692">
        <v>0</v>
      </c>
    </row>
    <row r="30" spans="1:11" ht="18.75" customHeight="1" x14ac:dyDescent="0.3">
      <c r="A30" s="246" t="s">
        <v>848</v>
      </c>
      <c r="B30" s="768"/>
      <c r="C30" s="607"/>
      <c r="D30" s="607"/>
      <c r="E30" s="607"/>
      <c r="F30" s="692">
        <v>0</v>
      </c>
      <c r="G30" s="692">
        <v>0</v>
      </c>
      <c r="H30" s="692">
        <v>12000</v>
      </c>
      <c r="I30" s="692">
        <v>14000</v>
      </c>
      <c r="J30" s="692">
        <v>18000</v>
      </c>
      <c r="K30" s="692">
        <v>18000</v>
      </c>
    </row>
    <row r="31" spans="1:11" ht="18.75" customHeight="1" x14ac:dyDescent="0.3">
      <c r="A31" s="246" t="s">
        <v>604</v>
      </c>
      <c r="B31" s="768"/>
      <c r="C31" s="607"/>
      <c r="D31" s="607"/>
      <c r="E31" s="607"/>
      <c r="F31" s="692">
        <v>0</v>
      </c>
      <c r="G31" s="692">
        <v>0</v>
      </c>
      <c r="H31" s="692">
        <v>4000</v>
      </c>
      <c r="I31" s="692">
        <v>3000</v>
      </c>
      <c r="J31" s="692">
        <v>3500</v>
      </c>
      <c r="K31" s="692">
        <v>3500</v>
      </c>
    </row>
    <row r="32" spans="1:11" ht="18.75" hidden="1" customHeight="1" x14ac:dyDescent="0.3">
      <c r="A32" s="246" t="s">
        <v>610</v>
      </c>
      <c r="B32" s="768"/>
      <c r="C32" s="607"/>
      <c r="D32" s="607"/>
      <c r="E32" s="607"/>
      <c r="F32" s="692"/>
      <c r="G32" s="692"/>
      <c r="H32" s="692">
        <v>9000</v>
      </c>
      <c r="I32" s="692">
        <v>0</v>
      </c>
      <c r="J32" s="692">
        <v>0</v>
      </c>
      <c r="K32" s="692">
        <v>0</v>
      </c>
    </row>
    <row r="33" spans="1:11" ht="18.75" customHeight="1" x14ac:dyDescent="0.3">
      <c r="A33" s="246" t="s">
        <v>650</v>
      </c>
      <c r="B33" s="768"/>
      <c r="C33" s="607"/>
      <c r="D33" s="607"/>
      <c r="E33" s="607"/>
      <c r="F33" s="692"/>
      <c r="G33" s="692"/>
      <c r="H33" s="692"/>
      <c r="I33" s="692">
        <v>1200</v>
      </c>
      <c r="J33" s="692">
        <v>0</v>
      </c>
      <c r="K33" s="692">
        <v>0</v>
      </c>
    </row>
    <row r="34" spans="1:11" ht="18.75" customHeight="1" x14ac:dyDescent="0.3">
      <c r="A34" s="246" t="s">
        <v>651</v>
      </c>
      <c r="B34" s="768"/>
      <c r="C34" s="607"/>
      <c r="D34" s="607"/>
      <c r="E34" s="607"/>
      <c r="F34" s="692"/>
      <c r="G34" s="692"/>
      <c r="H34" s="692"/>
      <c r="I34" s="692">
        <v>4500</v>
      </c>
      <c r="J34" s="692">
        <v>0</v>
      </c>
      <c r="K34" s="692">
        <v>0</v>
      </c>
    </row>
    <row r="35" spans="1:11" ht="18.75" customHeight="1" x14ac:dyDescent="0.3">
      <c r="A35" s="246" t="s">
        <v>652</v>
      </c>
      <c r="B35" s="768"/>
      <c r="C35" s="607"/>
      <c r="D35" s="607"/>
      <c r="E35" s="607"/>
      <c r="F35" s="692"/>
      <c r="G35" s="692"/>
      <c r="H35" s="692"/>
      <c r="I35" s="692">
        <f>15300+5000</f>
        <v>20300</v>
      </c>
      <c r="J35" s="692">
        <v>0</v>
      </c>
      <c r="K35" s="692">
        <v>0</v>
      </c>
    </row>
    <row r="36" spans="1:11" ht="18.75" customHeight="1" x14ac:dyDescent="0.3">
      <c r="A36" s="246" t="s">
        <v>784</v>
      </c>
      <c r="B36" s="768"/>
      <c r="C36" s="607"/>
      <c r="D36" s="607"/>
      <c r="E36" s="607"/>
      <c r="F36" s="692"/>
      <c r="G36" s="692"/>
      <c r="H36" s="692"/>
      <c r="I36" s="692">
        <v>7000</v>
      </c>
      <c r="J36" s="692">
        <v>0</v>
      </c>
      <c r="K36" s="692">
        <v>0</v>
      </c>
    </row>
    <row r="37" spans="1:11" ht="18.75" customHeight="1" x14ac:dyDescent="0.3">
      <c r="A37" s="246" t="s">
        <v>849</v>
      </c>
      <c r="B37" s="768"/>
      <c r="C37" s="607"/>
      <c r="D37" s="607"/>
      <c r="E37" s="607"/>
      <c r="F37" s="692"/>
      <c r="G37" s="692"/>
      <c r="H37" s="692"/>
      <c r="I37" s="692">
        <v>0</v>
      </c>
      <c r="J37" s="692">
        <v>0</v>
      </c>
      <c r="K37" s="692">
        <v>28000</v>
      </c>
    </row>
    <row r="38" spans="1:11" ht="18.75" customHeight="1" x14ac:dyDescent="0.3">
      <c r="A38" s="246"/>
      <c r="B38" s="768"/>
      <c r="C38" s="607"/>
      <c r="D38" s="607"/>
      <c r="E38" s="607"/>
      <c r="F38" s="692"/>
      <c r="G38" s="692"/>
      <c r="H38" s="692"/>
      <c r="I38" s="692"/>
      <c r="J38" s="692"/>
      <c r="K38" s="692"/>
    </row>
    <row r="39" spans="1:11" ht="18.75" customHeight="1" thickBot="1" x14ac:dyDescent="0.35">
      <c r="A39" s="246"/>
      <c r="B39" s="769">
        <v>4500</v>
      </c>
      <c r="C39" s="770"/>
      <c r="D39" s="770"/>
      <c r="E39" s="770"/>
      <c r="F39" s="771"/>
      <c r="G39" s="771"/>
      <c r="H39" s="771"/>
      <c r="I39" s="771"/>
      <c r="J39" s="771"/>
      <c r="K39" s="771"/>
    </row>
    <row r="40" spans="1:11" ht="18.75" customHeight="1" thickTop="1" x14ac:dyDescent="0.3">
      <c r="A40" s="101" t="s">
        <v>113</v>
      </c>
      <c r="B40" s="764">
        <f t="shared" ref="B40:K40" si="1">SUM(B4:B39)</f>
        <v>28725</v>
      </c>
      <c r="C40" s="764">
        <f t="shared" si="1"/>
        <v>42495</v>
      </c>
      <c r="D40" s="764">
        <f t="shared" si="1"/>
        <v>55752</v>
      </c>
      <c r="E40" s="764">
        <f t="shared" si="1"/>
        <v>66811</v>
      </c>
      <c r="F40" s="742">
        <f t="shared" si="1"/>
        <v>87400</v>
      </c>
      <c r="G40" s="742">
        <f t="shared" si="1"/>
        <v>102200</v>
      </c>
      <c r="H40" s="742">
        <f t="shared" si="1"/>
        <v>129136</v>
      </c>
      <c r="I40" s="742">
        <f t="shared" si="1"/>
        <v>119560</v>
      </c>
      <c r="J40" s="742">
        <f t="shared" si="1"/>
        <v>77830</v>
      </c>
      <c r="K40" s="742">
        <f t="shared" si="1"/>
        <v>123880</v>
      </c>
    </row>
    <row r="41" spans="1:11" s="44" customFormat="1" ht="18.75" customHeight="1" x14ac:dyDescent="0.3">
      <c r="A41" s="109"/>
      <c r="B41" s="109"/>
    </row>
    <row r="42" spans="1:11" ht="18.75" customHeight="1" x14ac:dyDescent="0.3">
      <c r="A42" s="109"/>
      <c r="B42" s="109"/>
    </row>
    <row r="43" spans="1:11" ht="18.75" customHeight="1" x14ac:dyDescent="0.3">
      <c r="A43" s="109"/>
      <c r="B43" s="109"/>
    </row>
    <row r="44" spans="1:11" ht="18.75" customHeight="1" x14ac:dyDescent="0.3">
      <c r="A44" s="109"/>
      <c r="B44" s="109"/>
    </row>
    <row r="45" spans="1:11" ht="18.75" customHeight="1" x14ac:dyDescent="0.3">
      <c r="A45" s="109"/>
      <c r="B45" s="109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2"/>
  <cols>
    <col min="1" max="1" width="44.140625" style="13" bestFit="1" customWidth="1"/>
    <col min="2" max="2" width="11" style="14" hidden="1" customWidth="1"/>
    <col min="3" max="8" width="11" style="94" hidden="1" customWidth="1"/>
    <col min="9" max="16384" width="9.140625" style="94"/>
  </cols>
  <sheetData>
    <row r="1" spans="1:11" s="179" customFormat="1" ht="18.75" customHeight="1" x14ac:dyDescent="0.3">
      <c r="A1" s="213" t="s">
        <v>495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179" customFormat="1" ht="18.75" customHeight="1" x14ac:dyDescent="0.3">
      <c r="A3" s="498" t="s">
        <v>115</v>
      </c>
      <c r="B3" s="499">
        <v>2010</v>
      </c>
      <c r="C3" s="499">
        <v>2013</v>
      </c>
      <c r="D3" s="499">
        <v>2014</v>
      </c>
      <c r="E3" s="499">
        <v>2015</v>
      </c>
      <c r="F3" s="499">
        <v>2016</v>
      </c>
      <c r="G3" s="499">
        <v>2017</v>
      </c>
      <c r="H3" s="499">
        <v>2018</v>
      </c>
      <c r="I3" s="499">
        <v>2019</v>
      </c>
      <c r="J3" s="499">
        <v>2020</v>
      </c>
      <c r="K3" s="499">
        <v>2021</v>
      </c>
    </row>
    <row r="4" spans="1:11" s="179" customFormat="1" ht="18.75" customHeight="1" x14ac:dyDescent="0.3">
      <c r="A4" s="496"/>
      <c r="B4" s="497"/>
      <c r="C4" s="497"/>
      <c r="D4" s="497"/>
      <c r="E4" s="497"/>
      <c r="F4" s="726"/>
      <c r="G4" s="726"/>
      <c r="H4" s="726"/>
      <c r="I4" s="726"/>
      <c r="J4" s="726"/>
      <c r="K4" s="726"/>
    </row>
    <row r="5" spans="1:11" s="179" customFormat="1" ht="18.75" customHeight="1" x14ac:dyDescent="0.3">
      <c r="A5" s="61" t="s">
        <v>558</v>
      </c>
      <c r="B5" s="47">
        <v>100</v>
      </c>
      <c r="C5" s="47">
        <v>200</v>
      </c>
      <c r="D5" s="47">
        <v>200</v>
      </c>
      <c r="E5" s="47">
        <v>200</v>
      </c>
      <c r="F5" s="696">
        <v>200</v>
      </c>
      <c r="G5" s="696">
        <v>200</v>
      </c>
      <c r="H5" s="696">
        <v>200</v>
      </c>
      <c r="I5" s="696">
        <v>200</v>
      </c>
      <c r="J5" s="696">
        <v>200</v>
      </c>
      <c r="K5" s="696">
        <v>100</v>
      </c>
    </row>
    <row r="6" spans="1:11" s="179" customFormat="1" ht="18.75" customHeight="1" x14ac:dyDescent="0.3">
      <c r="A6" s="61" t="s">
        <v>165</v>
      </c>
      <c r="B6" s="47">
        <v>1000</v>
      </c>
      <c r="C6" s="47">
        <v>600</v>
      </c>
      <c r="D6" s="47">
        <v>600</v>
      </c>
      <c r="E6" s="47">
        <v>600</v>
      </c>
      <c r="F6" s="696">
        <v>600</v>
      </c>
      <c r="G6" s="696">
        <v>600</v>
      </c>
      <c r="H6" s="696">
        <v>600</v>
      </c>
      <c r="I6" s="696">
        <v>600</v>
      </c>
      <c r="J6" s="696">
        <v>600</v>
      </c>
      <c r="K6" s="696">
        <v>300</v>
      </c>
    </row>
    <row r="7" spans="1:11" s="179" customFormat="1" ht="18.75" customHeight="1" x14ac:dyDescent="0.3">
      <c r="A7" s="61" t="s">
        <v>167</v>
      </c>
      <c r="B7" s="47">
        <v>300</v>
      </c>
      <c r="C7" s="47">
        <v>500</v>
      </c>
      <c r="D7" s="47">
        <v>600</v>
      </c>
      <c r="E7" s="47">
        <v>600</v>
      </c>
      <c r="F7" s="696">
        <v>600</v>
      </c>
      <c r="G7" s="696">
        <v>800</v>
      </c>
      <c r="H7" s="696">
        <v>800</v>
      </c>
      <c r="I7" s="696">
        <v>1000</v>
      </c>
      <c r="J7" s="696">
        <v>1000</v>
      </c>
      <c r="K7" s="696">
        <v>1000</v>
      </c>
    </row>
    <row r="8" spans="1:11" s="179" customFormat="1" ht="18.75" customHeight="1" x14ac:dyDescent="0.3">
      <c r="A8" s="108" t="s">
        <v>636</v>
      </c>
      <c r="B8" s="47">
        <v>6900</v>
      </c>
      <c r="C8" s="47">
        <v>2400</v>
      </c>
      <c r="D8" s="47">
        <f>2400+600+600</f>
        <v>3600</v>
      </c>
      <c r="E8" s="47">
        <f>(176.9*2*12)</f>
        <v>4245.6000000000004</v>
      </c>
      <c r="F8" s="696">
        <f>(176.9*2*12)</f>
        <v>4245.6000000000004</v>
      </c>
      <c r="G8" s="696">
        <f>(176.9*2*12)</f>
        <v>4245.6000000000004</v>
      </c>
      <c r="H8" s="696">
        <f>(176.9*2*12)</f>
        <v>4245.6000000000004</v>
      </c>
      <c r="I8" s="696">
        <v>1400</v>
      </c>
      <c r="J8" s="696">
        <f>700*2</f>
        <v>1400</v>
      </c>
      <c r="K8" s="696">
        <f>700*2</f>
        <v>1400</v>
      </c>
    </row>
    <row r="9" spans="1:11" s="179" customFormat="1" ht="18.75" customHeight="1" x14ac:dyDescent="0.3">
      <c r="A9" s="61" t="s">
        <v>164</v>
      </c>
      <c r="B9" s="47">
        <v>600</v>
      </c>
      <c r="C9" s="47">
        <v>500</v>
      </c>
      <c r="D9" s="47">
        <v>600</v>
      </c>
      <c r="E9" s="47">
        <v>600</v>
      </c>
      <c r="F9" s="696">
        <v>700</v>
      </c>
      <c r="G9" s="696">
        <v>800</v>
      </c>
      <c r="H9" s="696">
        <v>800</v>
      </c>
      <c r="I9" s="696">
        <v>1500</v>
      </c>
      <c r="J9" s="696">
        <v>1500</v>
      </c>
      <c r="K9" s="696">
        <v>1500</v>
      </c>
    </row>
    <row r="10" spans="1:11" ht="18.75" customHeight="1" x14ac:dyDescent="0.3">
      <c r="A10" s="61" t="s">
        <v>163</v>
      </c>
      <c r="B10" s="47">
        <v>100</v>
      </c>
      <c r="C10" s="47">
        <v>100</v>
      </c>
      <c r="D10" s="47">
        <v>100</v>
      </c>
      <c r="E10" s="47">
        <v>100</v>
      </c>
      <c r="F10" s="696">
        <v>150</v>
      </c>
      <c r="G10" s="696">
        <v>150</v>
      </c>
      <c r="H10" s="696">
        <v>150</v>
      </c>
      <c r="I10" s="696">
        <v>250</v>
      </c>
      <c r="J10" s="696">
        <v>250</v>
      </c>
      <c r="K10" s="696">
        <v>250</v>
      </c>
    </row>
    <row r="11" spans="1:11" ht="18.75" customHeight="1" x14ac:dyDescent="0.3">
      <c r="A11" s="61" t="s">
        <v>559</v>
      </c>
      <c r="B11" s="47">
        <v>2200</v>
      </c>
      <c r="C11" s="47">
        <v>1500</v>
      </c>
      <c r="D11" s="47">
        <v>1600</v>
      </c>
      <c r="E11" s="47">
        <v>1600</v>
      </c>
      <c r="F11" s="696">
        <v>1600</v>
      </c>
      <c r="G11" s="696">
        <v>1600</v>
      </c>
      <c r="H11" s="696">
        <v>1600</v>
      </c>
      <c r="I11" s="696">
        <v>1200</v>
      </c>
      <c r="J11" s="696">
        <v>1200</v>
      </c>
      <c r="K11" s="696">
        <v>800</v>
      </c>
    </row>
    <row r="12" spans="1:11" ht="18.75" customHeight="1" x14ac:dyDescent="0.3">
      <c r="A12" s="61" t="s">
        <v>166</v>
      </c>
      <c r="B12" s="47">
        <v>500</v>
      </c>
      <c r="C12" s="47">
        <v>300</v>
      </c>
      <c r="D12" s="47">
        <v>250</v>
      </c>
      <c r="E12" s="47">
        <v>200</v>
      </c>
      <c r="F12" s="696">
        <v>200</v>
      </c>
      <c r="G12" s="696">
        <v>250</v>
      </c>
      <c r="H12" s="696">
        <v>250</v>
      </c>
      <c r="I12" s="696">
        <v>1200</v>
      </c>
      <c r="J12" s="696">
        <v>600</v>
      </c>
      <c r="K12" s="696">
        <v>400</v>
      </c>
    </row>
    <row r="13" spans="1:11" ht="18.75" customHeight="1" x14ac:dyDescent="0.3">
      <c r="A13" s="61" t="s">
        <v>560</v>
      </c>
      <c r="B13" s="47"/>
      <c r="C13" s="47">
        <v>750</v>
      </c>
      <c r="D13" s="47">
        <v>700</v>
      </c>
      <c r="E13" s="47">
        <v>700</v>
      </c>
      <c r="F13" s="696">
        <v>700</v>
      </c>
      <c r="G13" s="696">
        <v>700</v>
      </c>
      <c r="H13" s="696">
        <v>1500</v>
      </c>
      <c r="I13" s="696">
        <v>2200</v>
      </c>
      <c r="J13" s="696">
        <v>2200</v>
      </c>
      <c r="K13" s="696">
        <v>2100</v>
      </c>
    </row>
    <row r="14" spans="1:11" ht="18.75" customHeight="1" x14ac:dyDescent="0.3">
      <c r="A14" s="61" t="s">
        <v>561</v>
      </c>
      <c r="B14" s="47"/>
      <c r="C14" s="47">
        <v>750</v>
      </c>
      <c r="D14" s="47">
        <f>750+800</f>
        <v>1550</v>
      </c>
      <c r="E14" s="47">
        <v>1600</v>
      </c>
      <c r="F14" s="696">
        <v>1600</v>
      </c>
      <c r="G14" s="696">
        <v>1600</v>
      </c>
      <c r="H14" s="696">
        <v>1600</v>
      </c>
      <c r="I14" s="696">
        <v>1750</v>
      </c>
      <c r="J14" s="696">
        <v>1750</v>
      </c>
      <c r="K14" s="696">
        <v>1750</v>
      </c>
    </row>
    <row r="15" spans="1:11" ht="18.75" customHeight="1" x14ac:dyDescent="0.3">
      <c r="A15" s="53"/>
      <c r="B15" s="47"/>
      <c r="C15" s="47"/>
      <c r="D15" s="47"/>
      <c r="E15" s="47"/>
      <c r="F15" s="696"/>
      <c r="G15" s="696"/>
      <c r="H15" s="696"/>
      <c r="I15" s="696"/>
      <c r="J15" s="696"/>
      <c r="K15" s="696"/>
    </row>
    <row r="16" spans="1:11" ht="18.75" customHeight="1" x14ac:dyDescent="0.3">
      <c r="A16" s="53"/>
      <c r="B16" s="47"/>
      <c r="C16" s="47"/>
      <c r="D16" s="47"/>
      <c r="E16" s="47"/>
      <c r="F16" s="696"/>
      <c r="G16" s="696"/>
      <c r="H16" s="696"/>
      <c r="I16" s="696"/>
      <c r="J16" s="696"/>
      <c r="K16" s="696"/>
    </row>
    <row r="17" spans="1:11" ht="18.75" customHeight="1" x14ac:dyDescent="0.3">
      <c r="A17" s="53"/>
      <c r="B17" s="100"/>
      <c r="C17" s="100"/>
      <c r="D17" s="100"/>
      <c r="E17" s="100"/>
      <c r="F17" s="727"/>
      <c r="G17" s="727"/>
      <c r="H17" s="727"/>
      <c r="I17" s="727"/>
      <c r="J17" s="727"/>
      <c r="K17" s="727"/>
    </row>
    <row r="18" spans="1:11" ht="18.75" customHeight="1" x14ac:dyDescent="0.3">
      <c r="A18" s="53"/>
      <c r="B18" s="100"/>
      <c r="C18" s="100"/>
      <c r="D18" s="100"/>
      <c r="E18" s="100"/>
      <c r="F18" s="727"/>
      <c r="G18" s="727"/>
      <c r="H18" s="727"/>
      <c r="I18" s="727"/>
      <c r="J18" s="727"/>
      <c r="K18" s="727"/>
    </row>
    <row r="19" spans="1:11" ht="18.75" customHeight="1" thickBot="1" x14ac:dyDescent="0.35">
      <c r="A19" s="53"/>
      <c r="B19" s="100">
        <v>-3400</v>
      </c>
      <c r="C19" s="100"/>
      <c r="D19" s="100"/>
      <c r="E19" s="100"/>
      <c r="F19" s="727"/>
      <c r="G19" s="727"/>
      <c r="H19" s="727"/>
      <c r="I19" s="727"/>
      <c r="J19" s="727"/>
      <c r="K19" s="727"/>
    </row>
    <row r="20" spans="1:11" ht="18.75" customHeight="1" thickTop="1" x14ac:dyDescent="0.3">
      <c r="A20" s="101" t="s">
        <v>113</v>
      </c>
      <c r="B20" s="87">
        <f t="shared" ref="B20:H20" si="0">SUM(B4:B19)</f>
        <v>8300</v>
      </c>
      <c r="C20" s="87">
        <f t="shared" si="0"/>
        <v>7600</v>
      </c>
      <c r="D20" s="87">
        <f t="shared" si="0"/>
        <v>9800</v>
      </c>
      <c r="E20" s="87">
        <f t="shared" si="0"/>
        <v>10445.6</v>
      </c>
      <c r="F20" s="728">
        <f t="shared" si="0"/>
        <v>10595.6</v>
      </c>
      <c r="G20" s="728">
        <f t="shared" ref="G20" si="1">SUM(G4:G19)</f>
        <v>10945.6</v>
      </c>
      <c r="H20" s="728">
        <f t="shared" si="0"/>
        <v>11745.6</v>
      </c>
      <c r="I20" s="728">
        <f t="shared" ref="I20:J20" si="2">SUM(I4:I19)</f>
        <v>11300</v>
      </c>
      <c r="J20" s="728">
        <f t="shared" si="2"/>
        <v>10700</v>
      </c>
      <c r="K20" s="728">
        <f t="shared" ref="K20" si="3">SUM(K4:K19)</f>
        <v>9600</v>
      </c>
    </row>
    <row r="21" spans="1:11" ht="18.75" customHeight="1" x14ac:dyDescent="0.3">
      <c r="A21" s="95"/>
      <c r="B21" s="43"/>
      <c r="C21" s="25"/>
    </row>
    <row r="22" spans="1:11" ht="18.75" customHeight="1" x14ac:dyDescent="0.3">
      <c r="A22" s="95"/>
      <c r="B22" s="43"/>
      <c r="C22" s="25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9.7109375" style="95" bestFit="1" customWidth="1"/>
    <col min="2" max="2" width="10.7109375" style="43" hidden="1" customWidth="1"/>
    <col min="3" max="8" width="10.7109375" style="25" hidden="1" customWidth="1"/>
    <col min="9" max="16384" width="9.140625" style="25"/>
  </cols>
  <sheetData>
    <row r="1" spans="1:11" s="44" customFormat="1" ht="18.75" customHeight="1" x14ac:dyDescent="0.3">
      <c r="A1" s="213" t="s">
        <v>496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115"/>
      <c r="B4" s="115"/>
      <c r="C4" s="115"/>
      <c r="D4" s="115"/>
      <c r="E4" s="115"/>
      <c r="F4" s="684"/>
      <c r="G4" s="684"/>
      <c r="H4" s="684"/>
      <c r="I4" s="684"/>
      <c r="J4" s="684"/>
      <c r="K4" s="684"/>
    </row>
    <row r="5" spans="1:11" s="121" customFormat="1" ht="24.95" hidden="1" customHeight="1" x14ac:dyDescent="0.3">
      <c r="A5" s="61" t="s">
        <v>451</v>
      </c>
      <c r="B5" s="189">
        <v>4500</v>
      </c>
      <c r="C5" s="189">
        <v>3000</v>
      </c>
      <c r="D5" s="189">
        <v>3200</v>
      </c>
      <c r="E5" s="189">
        <v>2600</v>
      </c>
      <c r="F5" s="644">
        <v>2600</v>
      </c>
      <c r="G5" s="644">
        <v>2600</v>
      </c>
      <c r="H5" s="644"/>
      <c r="I5" s="644"/>
      <c r="J5" s="644"/>
      <c r="K5" s="644"/>
    </row>
    <row r="6" spans="1:11" s="121" customFormat="1" ht="24.95" customHeight="1" x14ac:dyDescent="0.3">
      <c r="A6" s="61" t="s">
        <v>855</v>
      </c>
      <c r="B6" s="189">
        <v>200</v>
      </c>
      <c r="C6" s="189">
        <v>200</v>
      </c>
      <c r="D6" s="189">
        <v>300</v>
      </c>
      <c r="E6" s="189">
        <v>300</v>
      </c>
      <c r="F6" s="644">
        <v>300</v>
      </c>
      <c r="G6" s="644">
        <v>300</v>
      </c>
      <c r="H6" s="644">
        <v>300</v>
      </c>
      <c r="I6" s="644">
        <v>500</v>
      </c>
      <c r="J6" s="644">
        <v>800</v>
      </c>
      <c r="K6" s="644">
        <v>800</v>
      </c>
    </row>
    <row r="7" spans="1:11" s="231" customFormat="1" ht="24.95" customHeight="1" x14ac:dyDescent="0.3">
      <c r="A7" s="118" t="s">
        <v>536</v>
      </c>
      <c r="B7" s="189">
        <v>3500</v>
      </c>
      <c r="C7" s="189">
        <v>5000</v>
      </c>
      <c r="D7" s="189">
        <v>5000</v>
      </c>
      <c r="E7" s="189">
        <v>3500</v>
      </c>
      <c r="F7" s="644">
        <v>3800</v>
      </c>
      <c r="G7" s="644">
        <v>3800</v>
      </c>
      <c r="H7" s="644">
        <f>3800+2600</f>
        <v>6400</v>
      </c>
      <c r="I7" s="644">
        <f>4000+3000</f>
        <v>7000</v>
      </c>
      <c r="J7" s="644">
        <f>4000+3000</f>
        <v>7000</v>
      </c>
      <c r="K7" s="644">
        <f>4000+3000</f>
        <v>7000</v>
      </c>
    </row>
    <row r="8" spans="1:11" ht="24.95" customHeight="1" x14ac:dyDescent="0.3">
      <c r="A8" s="61" t="s">
        <v>708</v>
      </c>
      <c r="B8" s="54">
        <v>600</v>
      </c>
      <c r="C8" s="54">
        <v>500</v>
      </c>
      <c r="D8" s="54">
        <v>600</v>
      </c>
      <c r="E8" s="54">
        <v>600</v>
      </c>
      <c r="F8" s="633">
        <v>600</v>
      </c>
      <c r="G8" s="633">
        <v>600</v>
      </c>
      <c r="H8" s="633">
        <v>800</v>
      </c>
      <c r="I8" s="633">
        <v>800</v>
      </c>
      <c r="J8" s="633">
        <v>800</v>
      </c>
      <c r="K8" s="633">
        <v>800</v>
      </c>
    </row>
    <row r="9" spans="1:11" ht="24.95" customHeight="1" x14ac:dyDescent="0.3">
      <c r="A9" s="67" t="s">
        <v>452</v>
      </c>
      <c r="B9" s="54">
        <v>140</v>
      </c>
      <c r="C9" s="54">
        <v>500</v>
      </c>
      <c r="D9" s="54">
        <v>500</v>
      </c>
      <c r="E9" s="54">
        <v>400</v>
      </c>
      <c r="F9" s="633">
        <v>400</v>
      </c>
      <c r="G9" s="633">
        <v>400</v>
      </c>
      <c r="H9" s="633">
        <v>500</v>
      </c>
      <c r="I9" s="633">
        <v>600</v>
      </c>
      <c r="J9" s="633">
        <v>600</v>
      </c>
      <c r="K9" s="633">
        <v>600</v>
      </c>
    </row>
    <row r="10" spans="1:11" ht="24.95" customHeight="1" x14ac:dyDescent="0.3">
      <c r="A10" s="61" t="s">
        <v>287</v>
      </c>
      <c r="B10" s="54">
        <v>450</v>
      </c>
      <c r="C10" s="54">
        <v>500</v>
      </c>
      <c r="D10" s="54">
        <v>600</v>
      </c>
      <c r="E10" s="54">
        <v>600</v>
      </c>
      <c r="F10" s="633">
        <v>600</v>
      </c>
      <c r="G10" s="633">
        <v>600</v>
      </c>
      <c r="H10" s="633">
        <v>600</v>
      </c>
      <c r="I10" s="633">
        <v>750</v>
      </c>
      <c r="J10" s="633">
        <v>750</v>
      </c>
      <c r="K10" s="633">
        <v>750</v>
      </c>
    </row>
    <row r="11" spans="1:11" ht="24.95" customHeight="1" x14ac:dyDescent="0.3">
      <c r="A11" s="61" t="s">
        <v>324</v>
      </c>
      <c r="B11" s="54">
        <v>200</v>
      </c>
      <c r="C11" s="54">
        <v>300</v>
      </c>
      <c r="D11" s="54">
        <v>350</v>
      </c>
      <c r="E11" s="54">
        <v>350</v>
      </c>
      <c r="F11" s="633">
        <v>350</v>
      </c>
      <c r="G11" s="633">
        <v>350</v>
      </c>
      <c r="H11" s="633">
        <v>400</v>
      </c>
      <c r="I11" s="633">
        <v>500</v>
      </c>
      <c r="J11" s="633">
        <v>500</v>
      </c>
      <c r="K11" s="633">
        <v>500</v>
      </c>
    </row>
    <row r="12" spans="1:11" ht="24.95" customHeight="1" x14ac:dyDescent="0.3">
      <c r="A12" s="61" t="s">
        <v>834</v>
      </c>
      <c r="B12" s="54"/>
      <c r="C12" s="54"/>
      <c r="D12" s="54"/>
      <c r="E12" s="56">
        <v>2000</v>
      </c>
      <c r="F12" s="634">
        <v>2250</v>
      </c>
      <c r="G12" s="634">
        <v>2250</v>
      </c>
      <c r="H12" s="634">
        <v>2400</v>
      </c>
      <c r="I12" s="634">
        <v>2500</v>
      </c>
      <c r="J12" s="634">
        <v>2500</v>
      </c>
      <c r="K12" s="634">
        <v>2500</v>
      </c>
    </row>
    <row r="13" spans="1:11" ht="24.95" customHeight="1" x14ac:dyDescent="0.3">
      <c r="A13" s="61" t="s">
        <v>835</v>
      </c>
      <c r="B13" s="54"/>
      <c r="C13" s="54"/>
      <c r="D13" s="54"/>
      <c r="E13" s="54"/>
      <c r="F13" s="633"/>
      <c r="G13" s="633"/>
      <c r="H13" s="633"/>
      <c r="I13" s="633">
        <v>0</v>
      </c>
      <c r="J13" s="633">
        <v>0</v>
      </c>
      <c r="K13" s="633">
        <f>(8*350)+(14*350)</f>
        <v>7700</v>
      </c>
    </row>
    <row r="14" spans="1:11" ht="24.95" customHeight="1" x14ac:dyDescent="0.3">
      <c r="A14" s="459"/>
      <c r="B14" s="54"/>
      <c r="C14" s="54"/>
      <c r="D14" s="54"/>
      <c r="E14" s="54"/>
      <c r="F14" s="633"/>
      <c r="G14" s="633"/>
      <c r="H14" s="633"/>
      <c r="I14" s="633"/>
      <c r="J14" s="633"/>
      <c r="K14" s="633"/>
    </row>
    <row r="15" spans="1:11" ht="24.95" customHeight="1" thickBot="1" x14ac:dyDescent="0.35">
      <c r="A15" s="452"/>
      <c r="B15" s="267">
        <v>-2000</v>
      </c>
      <c r="C15" s="267"/>
      <c r="D15" s="267"/>
      <c r="E15" s="267"/>
      <c r="F15" s="723"/>
      <c r="G15" s="723"/>
      <c r="H15" s="723"/>
      <c r="I15" s="723"/>
      <c r="J15" s="723"/>
      <c r="K15" s="723"/>
    </row>
    <row r="16" spans="1:11" s="44" customFormat="1" ht="24.95" customHeight="1" thickTop="1" x14ac:dyDescent="0.3">
      <c r="A16" s="101" t="s">
        <v>113</v>
      </c>
      <c r="B16" s="199">
        <f t="shared" ref="B16:H16" si="0">SUM(B4:B15)</f>
        <v>7590</v>
      </c>
      <c r="C16" s="199">
        <f t="shared" si="0"/>
        <v>10000</v>
      </c>
      <c r="D16" s="199">
        <f t="shared" si="0"/>
        <v>10550</v>
      </c>
      <c r="E16" s="199">
        <f t="shared" si="0"/>
        <v>10350</v>
      </c>
      <c r="F16" s="647">
        <f t="shared" si="0"/>
        <v>10900</v>
      </c>
      <c r="G16" s="647">
        <f t="shared" ref="G16" si="1">SUM(G4:G15)</f>
        <v>10900</v>
      </c>
      <c r="H16" s="647">
        <f t="shared" si="0"/>
        <v>11400</v>
      </c>
      <c r="I16" s="647">
        <f t="shared" ref="I16:J16" si="2">SUM(I4:I15)</f>
        <v>12650</v>
      </c>
      <c r="J16" s="647">
        <f t="shared" si="2"/>
        <v>12950</v>
      </c>
      <c r="K16" s="647">
        <f t="shared" ref="K16" si="3">SUM(K4:K15)</f>
        <v>20650</v>
      </c>
    </row>
    <row r="18" spans="1:1" ht="18.75" customHeight="1" x14ac:dyDescent="0.3">
      <c r="A18" s="133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9.140625" defaultRowHeight="18.75" customHeight="1" x14ac:dyDescent="0.3"/>
  <cols>
    <col min="1" max="1" width="36.85546875" style="95" bestFit="1" customWidth="1"/>
    <col min="2" max="2" width="10.7109375" style="43" hidden="1" customWidth="1"/>
    <col min="3" max="8" width="10.7109375" style="25" hidden="1" customWidth="1"/>
    <col min="9" max="16384" width="9.140625" style="25"/>
  </cols>
  <sheetData>
    <row r="1" spans="1:11" s="44" customFormat="1" ht="18.75" customHeight="1" x14ac:dyDescent="0.3">
      <c r="A1" s="213" t="s">
        <v>497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99"/>
      <c r="B4" s="218"/>
      <c r="C4" s="218"/>
      <c r="D4" s="218"/>
      <c r="E4" s="218"/>
      <c r="F4" s="715"/>
      <c r="G4" s="715"/>
      <c r="H4" s="715"/>
      <c r="I4" s="715"/>
      <c r="J4" s="715"/>
      <c r="K4" s="715"/>
    </row>
    <row r="5" spans="1:11" s="44" customFormat="1" ht="18.75" customHeight="1" x14ac:dyDescent="0.3">
      <c r="A5" s="61"/>
      <c r="B5" s="34"/>
      <c r="C5" s="34"/>
      <c r="D5" s="34"/>
      <c r="E5" s="34"/>
      <c r="F5" s="701"/>
      <c r="G5" s="701"/>
      <c r="H5" s="701"/>
      <c r="I5" s="701"/>
      <c r="J5" s="701"/>
      <c r="K5" s="701"/>
    </row>
    <row r="6" spans="1:11" s="44" customFormat="1" ht="18.75" customHeight="1" x14ac:dyDescent="0.3">
      <c r="A6" s="61" t="s">
        <v>637</v>
      </c>
      <c r="B6" s="34">
        <v>210</v>
      </c>
      <c r="C6" s="34">
        <v>320</v>
      </c>
      <c r="D6" s="763">
        <v>320</v>
      </c>
      <c r="E6" s="763">
        <v>300</v>
      </c>
      <c r="F6" s="751">
        <v>300</v>
      </c>
      <c r="G6" s="751">
        <v>300</v>
      </c>
      <c r="H6" s="751">
        <v>300</v>
      </c>
      <c r="I6" s="751">
        <v>350</v>
      </c>
      <c r="J6" s="751">
        <v>800</v>
      </c>
      <c r="K6" s="751">
        <v>800</v>
      </c>
    </row>
    <row r="7" spans="1:11" s="44" customFormat="1" ht="18.75" customHeight="1" x14ac:dyDescent="0.3">
      <c r="A7" s="61" t="s">
        <v>605</v>
      </c>
      <c r="B7" s="34">
        <v>70</v>
      </c>
      <c r="C7" s="34">
        <v>45</v>
      </c>
      <c r="D7" s="763">
        <v>45</v>
      </c>
      <c r="E7" s="763">
        <v>45</v>
      </c>
      <c r="F7" s="751">
        <v>45</v>
      </c>
      <c r="G7" s="751">
        <v>45</v>
      </c>
      <c r="H7" s="751">
        <v>45</v>
      </c>
      <c r="I7" s="751">
        <v>50</v>
      </c>
      <c r="J7" s="751">
        <v>50</v>
      </c>
      <c r="K7" s="751">
        <v>50</v>
      </c>
    </row>
    <row r="8" spans="1:11" s="44" customFormat="1" ht="18.75" customHeight="1" x14ac:dyDescent="0.3">
      <c r="A8" s="61" t="s">
        <v>575</v>
      </c>
      <c r="B8" s="34">
        <v>1000</v>
      </c>
      <c r="C8" s="34">
        <v>1000</v>
      </c>
      <c r="D8" s="763">
        <v>1500</v>
      </c>
      <c r="E8" s="763">
        <f>500+750+1500</f>
        <v>2750</v>
      </c>
      <c r="F8" s="751">
        <v>3100</v>
      </c>
      <c r="G8" s="751">
        <v>750</v>
      </c>
      <c r="H8" s="751">
        <v>800</v>
      </c>
      <c r="I8" s="751">
        <v>850</v>
      </c>
      <c r="J8" s="751">
        <v>1800</v>
      </c>
      <c r="K8" s="751">
        <v>1800</v>
      </c>
    </row>
    <row r="9" spans="1:11" s="44" customFormat="1" ht="18.75" customHeight="1" x14ac:dyDescent="0.3">
      <c r="A9" s="122"/>
      <c r="B9" s="34"/>
      <c r="C9" s="34"/>
      <c r="D9" s="34"/>
      <c r="E9" s="34"/>
      <c r="F9" s="701"/>
      <c r="G9" s="701"/>
      <c r="H9" s="701"/>
      <c r="I9" s="701"/>
      <c r="J9" s="701"/>
      <c r="K9" s="701"/>
    </row>
    <row r="10" spans="1:11" ht="18.75" customHeight="1" x14ac:dyDescent="0.3">
      <c r="A10" s="122"/>
      <c r="B10" s="34"/>
      <c r="C10" s="34"/>
      <c r="D10" s="34"/>
      <c r="E10" s="34"/>
      <c r="F10" s="701"/>
      <c r="G10" s="701"/>
      <c r="H10" s="701"/>
      <c r="I10" s="701"/>
      <c r="J10" s="701"/>
      <c r="K10" s="701"/>
    </row>
    <row r="11" spans="1:11" ht="18.75" customHeight="1" x14ac:dyDescent="0.3">
      <c r="A11" s="96"/>
      <c r="B11" s="34"/>
      <c r="C11" s="34"/>
      <c r="D11" s="34"/>
      <c r="E11" s="34"/>
      <c r="F11" s="701"/>
      <c r="G11" s="701"/>
      <c r="H11" s="701"/>
      <c r="I11" s="701"/>
      <c r="J11" s="701"/>
      <c r="K11" s="701"/>
    </row>
    <row r="12" spans="1:11" ht="18.75" customHeight="1" thickBot="1" x14ac:dyDescent="0.35">
      <c r="A12" s="53"/>
      <c r="B12" s="48">
        <v>-75</v>
      </c>
      <c r="C12" s="48"/>
      <c r="D12" s="48"/>
      <c r="E12" s="48"/>
      <c r="F12" s="691"/>
      <c r="G12" s="691"/>
      <c r="H12" s="691"/>
      <c r="I12" s="691"/>
      <c r="J12" s="691"/>
      <c r="K12" s="691"/>
    </row>
    <row r="13" spans="1:11" s="44" customFormat="1" ht="18.75" customHeight="1" thickTop="1" x14ac:dyDescent="0.3">
      <c r="A13" s="101" t="s">
        <v>113</v>
      </c>
      <c r="B13" s="764">
        <f t="shared" ref="B13:H13" si="0">SUM(B4:B12)</f>
        <v>1205</v>
      </c>
      <c r="C13" s="764">
        <f t="shared" si="0"/>
        <v>1365</v>
      </c>
      <c r="D13" s="764">
        <f t="shared" si="0"/>
        <v>1865</v>
      </c>
      <c r="E13" s="764">
        <f t="shared" si="0"/>
        <v>3095</v>
      </c>
      <c r="F13" s="742">
        <f t="shared" si="0"/>
        <v>3445</v>
      </c>
      <c r="G13" s="742">
        <f t="shared" ref="G13" si="1">SUM(G4:G12)</f>
        <v>1095</v>
      </c>
      <c r="H13" s="742">
        <f t="shared" si="0"/>
        <v>1145</v>
      </c>
      <c r="I13" s="742">
        <f t="shared" ref="I13:J13" si="2">SUM(I4:I12)</f>
        <v>1250</v>
      </c>
      <c r="J13" s="742">
        <f t="shared" si="2"/>
        <v>2650</v>
      </c>
      <c r="K13" s="742">
        <f t="shared" ref="K13" si="3">SUM(K4:K12)</f>
        <v>2650</v>
      </c>
    </row>
    <row r="15" spans="1:11" ht="18.75" customHeight="1" x14ac:dyDescent="0.3">
      <c r="A15" s="232"/>
      <c r="B15" s="134"/>
    </row>
    <row r="16" spans="1:11" ht="18.75" customHeight="1" x14ac:dyDescent="0.3">
      <c r="A16" s="232"/>
      <c r="B16" s="134"/>
    </row>
    <row r="17" spans="1:1" ht="18.75" customHeight="1" x14ac:dyDescent="0.3">
      <c r="A17" s="16"/>
    </row>
    <row r="18" spans="1:1" ht="18.75" customHeight="1" x14ac:dyDescent="0.3">
      <c r="A18" s="1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defaultColWidth="9.140625" defaultRowHeight="18.75" customHeight="1" x14ac:dyDescent="0.3"/>
  <cols>
    <col min="1" max="1" width="40.28515625" style="95" bestFit="1" customWidth="1"/>
    <col min="2" max="2" width="10.42578125" style="43" hidden="1" customWidth="1"/>
    <col min="3" max="8" width="10.42578125" style="25" hidden="1" customWidth="1"/>
    <col min="9" max="10" width="9.140625" style="25"/>
    <col min="12" max="16384" width="9.140625" style="25"/>
  </cols>
  <sheetData>
    <row r="1" spans="1:13" s="44" customFormat="1" ht="18.75" customHeight="1" x14ac:dyDescent="0.3">
      <c r="A1" s="213" t="s">
        <v>498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3" s="44" customFormat="1" ht="18.75" customHeight="1" x14ac:dyDescent="0.3">
      <c r="A3" s="102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3" s="121" customFormat="1" ht="16.5" x14ac:dyDescent="0.3">
      <c r="A4" s="52"/>
      <c r="B4" s="116"/>
      <c r="C4" s="116"/>
      <c r="D4" s="116"/>
      <c r="E4" s="116"/>
      <c r="F4" s="731"/>
      <c r="G4" s="731"/>
      <c r="H4" s="731"/>
      <c r="I4" s="731"/>
      <c r="J4" s="731"/>
      <c r="K4" s="731"/>
    </row>
    <row r="5" spans="1:13" s="44" customFormat="1" ht="18" customHeight="1" x14ac:dyDescent="0.3">
      <c r="A5" s="52" t="s">
        <v>141</v>
      </c>
      <c r="B5" s="59">
        <v>75</v>
      </c>
      <c r="C5" s="59">
        <v>200</v>
      </c>
      <c r="D5" s="59">
        <v>200</v>
      </c>
      <c r="E5" s="59">
        <v>200</v>
      </c>
      <c r="F5" s="697">
        <v>300</v>
      </c>
      <c r="G5" s="697">
        <f>200*3</f>
        <v>600</v>
      </c>
      <c r="H5" s="697">
        <f>200*4</f>
        <v>800</v>
      </c>
      <c r="I5" s="697">
        <f>200*4</f>
        <v>800</v>
      </c>
      <c r="J5" s="697">
        <f>150*4</f>
        <v>600</v>
      </c>
      <c r="K5" s="697">
        <f>150*4</f>
        <v>600</v>
      </c>
      <c r="L5" s="90" t="s">
        <v>670</v>
      </c>
    </row>
    <row r="6" spans="1:13" ht="18" customHeight="1" x14ac:dyDescent="0.3">
      <c r="A6" s="754" t="s">
        <v>433</v>
      </c>
      <c r="B6" s="755">
        <v>200</v>
      </c>
      <c r="C6" s="755">
        <v>200</v>
      </c>
      <c r="D6" s="755">
        <v>200</v>
      </c>
      <c r="E6" s="755">
        <v>200</v>
      </c>
      <c r="F6" s="756">
        <v>200</v>
      </c>
      <c r="G6" s="756">
        <v>200</v>
      </c>
      <c r="H6" s="756">
        <v>200</v>
      </c>
      <c r="I6" s="756">
        <v>250</v>
      </c>
      <c r="J6" s="756">
        <v>300</v>
      </c>
      <c r="K6" s="756">
        <v>300</v>
      </c>
      <c r="L6" s="90"/>
    </row>
    <row r="7" spans="1:13" ht="18" hidden="1" customHeight="1" x14ac:dyDescent="0.3">
      <c r="A7" s="52" t="s">
        <v>351</v>
      </c>
      <c r="B7" s="59"/>
      <c r="C7" s="59">
        <v>30</v>
      </c>
      <c r="D7" s="59">
        <v>30</v>
      </c>
      <c r="E7" s="606"/>
      <c r="F7" s="700"/>
      <c r="G7" s="700"/>
      <c r="H7" s="700"/>
      <c r="I7" s="700"/>
      <c r="J7" s="700"/>
      <c r="K7" s="700"/>
      <c r="L7" s="90" t="s">
        <v>331</v>
      </c>
    </row>
    <row r="8" spans="1:13" ht="18" hidden="1" customHeight="1" x14ac:dyDescent="0.3">
      <c r="A8" s="61" t="s">
        <v>70</v>
      </c>
      <c r="B8" s="59">
        <v>100</v>
      </c>
      <c r="C8" s="59">
        <v>125</v>
      </c>
      <c r="D8" s="59">
        <v>125</v>
      </c>
      <c r="E8" s="606"/>
      <c r="F8" s="700"/>
      <c r="G8" s="700"/>
      <c r="H8" s="700"/>
      <c r="I8" s="700"/>
      <c r="J8" s="700"/>
      <c r="K8" s="700"/>
      <c r="L8" s="90" t="s">
        <v>331</v>
      </c>
    </row>
    <row r="9" spans="1:13" ht="18" hidden="1" customHeight="1" x14ac:dyDescent="0.3">
      <c r="A9" s="52" t="s">
        <v>21</v>
      </c>
      <c r="B9" s="59">
        <v>75</v>
      </c>
      <c r="C9" s="59">
        <v>75</v>
      </c>
      <c r="D9" s="59">
        <v>75</v>
      </c>
      <c r="E9" s="606"/>
      <c r="F9" s="700"/>
      <c r="G9" s="700"/>
      <c r="H9" s="700"/>
      <c r="I9" s="700"/>
      <c r="J9" s="700"/>
      <c r="K9" s="700"/>
      <c r="L9" s="90" t="s">
        <v>331</v>
      </c>
      <c r="M9" s="109"/>
    </row>
    <row r="10" spans="1:13" ht="18" customHeight="1" x14ac:dyDescent="0.3">
      <c r="A10" s="61" t="s">
        <v>461</v>
      </c>
      <c r="B10" s="47">
        <v>440</v>
      </c>
      <c r="C10" s="47">
        <v>234</v>
      </c>
      <c r="D10" s="47">
        <v>234</v>
      </c>
      <c r="E10" s="533">
        <v>234</v>
      </c>
      <c r="F10" s="689">
        <v>275</v>
      </c>
      <c r="G10" s="689">
        <v>289</v>
      </c>
      <c r="H10" s="689">
        <v>264</v>
      </c>
      <c r="I10" s="689">
        <v>264</v>
      </c>
      <c r="J10" s="689">
        <v>300</v>
      </c>
      <c r="K10" s="689">
        <v>300</v>
      </c>
      <c r="L10" s="90" t="s">
        <v>408</v>
      </c>
    </row>
    <row r="11" spans="1:13" ht="18" customHeight="1" x14ac:dyDescent="0.3">
      <c r="A11" s="52" t="s">
        <v>704</v>
      </c>
      <c r="B11" s="59">
        <v>200</v>
      </c>
      <c r="C11" s="59">
        <v>200</v>
      </c>
      <c r="D11" s="59">
        <v>200</v>
      </c>
      <c r="E11" s="606">
        <v>200</v>
      </c>
      <c r="F11" s="700">
        <v>200</v>
      </c>
      <c r="G11" s="700">
        <v>200</v>
      </c>
      <c r="H11" s="700">
        <v>200</v>
      </c>
      <c r="I11" s="700">
        <v>250</v>
      </c>
      <c r="J11" s="700">
        <v>250</v>
      </c>
      <c r="K11" s="700">
        <v>250</v>
      </c>
      <c r="L11" s="90"/>
    </row>
    <row r="12" spans="1:13" ht="18" customHeight="1" x14ac:dyDescent="0.3">
      <c r="A12" s="52" t="s">
        <v>705</v>
      </c>
      <c r="B12" s="59"/>
      <c r="C12" s="59">
        <v>85</v>
      </c>
      <c r="D12" s="59">
        <v>85</v>
      </c>
      <c r="E12" s="606">
        <v>90</v>
      </c>
      <c r="F12" s="700">
        <v>90</v>
      </c>
      <c r="G12" s="700">
        <v>90</v>
      </c>
      <c r="H12" s="700">
        <v>90</v>
      </c>
      <c r="I12" s="700">
        <v>180</v>
      </c>
      <c r="J12" s="700">
        <v>180</v>
      </c>
      <c r="K12" s="700">
        <v>180</v>
      </c>
      <c r="L12" s="90" t="s">
        <v>638</v>
      </c>
    </row>
    <row r="13" spans="1:13" ht="18" customHeight="1" x14ac:dyDescent="0.3">
      <c r="A13" s="52" t="s">
        <v>655</v>
      </c>
      <c r="B13" s="59">
        <v>150</v>
      </c>
      <c r="C13" s="59">
        <v>165</v>
      </c>
      <c r="D13" s="59">
        <v>1165</v>
      </c>
      <c r="E13" s="606">
        <v>1165</v>
      </c>
      <c r="F13" s="700">
        <v>165</v>
      </c>
      <c r="G13" s="700">
        <v>165</v>
      </c>
      <c r="H13" s="700">
        <v>195</v>
      </c>
      <c r="I13" s="700">
        <v>195</v>
      </c>
      <c r="J13" s="700">
        <v>195</v>
      </c>
      <c r="K13" s="700"/>
      <c r="L13" s="90"/>
    </row>
    <row r="14" spans="1:13" ht="18" customHeight="1" x14ac:dyDescent="0.3">
      <c r="A14" s="52" t="s">
        <v>348</v>
      </c>
      <c r="B14" s="59"/>
      <c r="C14" s="59">
        <v>350</v>
      </c>
      <c r="D14" s="59">
        <v>350</v>
      </c>
      <c r="E14" s="606">
        <v>350</v>
      </c>
      <c r="F14" s="700">
        <v>500</v>
      </c>
      <c r="G14" s="700">
        <v>500</v>
      </c>
      <c r="H14" s="700">
        <v>400</v>
      </c>
      <c r="I14" s="700">
        <v>375</v>
      </c>
      <c r="J14" s="700">
        <v>375</v>
      </c>
      <c r="K14" s="700">
        <v>375</v>
      </c>
      <c r="L14" s="90" t="s">
        <v>851</v>
      </c>
    </row>
    <row r="15" spans="1:13" ht="18" customHeight="1" x14ac:dyDescent="0.3">
      <c r="A15" s="52" t="s">
        <v>288</v>
      </c>
      <c r="B15" s="59">
        <v>1000</v>
      </c>
      <c r="C15" s="59">
        <v>1000</v>
      </c>
      <c r="D15" s="59">
        <v>1000</v>
      </c>
      <c r="E15" s="606">
        <v>1100</v>
      </c>
      <c r="F15" s="700">
        <v>1250</v>
      </c>
      <c r="G15" s="700">
        <v>1250</v>
      </c>
      <c r="H15" s="700">
        <v>1400</v>
      </c>
      <c r="I15" s="700">
        <v>1400</v>
      </c>
      <c r="J15" s="700">
        <v>1400</v>
      </c>
      <c r="K15" s="700">
        <v>1400</v>
      </c>
      <c r="L15" s="90"/>
    </row>
    <row r="16" spans="1:13" ht="18" customHeight="1" x14ac:dyDescent="0.3">
      <c r="A16" s="52" t="s">
        <v>595</v>
      </c>
      <c r="B16" s="59">
        <v>175</v>
      </c>
      <c r="C16" s="59">
        <v>105</v>
      </c>
      <c r="D16" s="59">
        <f>4*35</f>
        <v>140</v>
      </c>
      <c r="E16" s="606">
        <f>4*35</f>
        <v>140</v>
      </c>
      <c r="F16" s="700">
        <f>(5*55)+55</f>
        <v>330</v>
      </c>
      <c r="G16" s="700">
        <f>(5*55)+((4*55)+110)</f>
        <v>605</v>
      </c>
      <c r="H16" s="700">
        <f>(4*55)+((4*60)+120)</f>
        <v>580</v>
      </c>
      <c r="I16" s="700">
        <f>(4*55)+((4*60)+120)</f>
        <v>580</v>
      </c>
      <c r="J16" s="700">
        <f>(4*55)+((4*60)+120)</f>
        <v>580</v>
      </c>
      <c r="K16" s="700">
        <f>(100+(3*40))+(120+(8*60))</f>
        <v>820</v>
      </c>
      <c r="L16" s="90" t="s">
        <v>852</v>
      </c>
    </row>
    <row r="17" spans="1:12" ht="18" customHeight="1" x14ac:dyDescent="0.3">
      <c r="A17" s="50" t="s">
        <v>231</v>
      </c>
      <c r="B17" s="59">
        <v>75</v>
      </c>
      <c r="C17" s="59">
        <v>75</v>
      </c>
      <c r="D17" s="59">
        <v>75</v>
      </c>
      <c r="E17" s="606">
        <v>75</v>
      </c>
      <c r="F17" s="700">
        <v>75</v>
      </c>
      <c r="G17" s="700">
        <v>75</v>
      </c>
      <c r="H17" s="700">
        <v>75</v>
      </c>
      <c r="I17" s="700">
        <v>75</v>
      </c>
      <c r="J17" s="700">
        <v>75</v>
      </c>
      <c r="K17" s="700">
        <v>75</v>
      </c>
      <c r="L17" s="90"/>
    </row>
    <row r="18" spans="1:12" ht="18" customHeight="1" x14ac:dyDescent="0.3">
      <c r="A18" s="50" t="s">
        <v>818</v>
      </c>
      <c r="B18" s="59">
        <v>100</v>
      </c>
      <c r="C18" s="59">
        <v>200</v>
      </c>
      <c r="D18" s="59">
        <v>200</v>
      </c>
      <c r="E18" s="606">
        <v>200</v>
      </c>
      <c r="F18" s="700">
        <v>300</v>
      </c>
      <c r="G18" s="700">
        <f>150+(100*2)</f>
        <v>350</v>
      </c>
      <c r="H18" s="700">
        <f>150+(100*3)</f>
        <v>450</v>
      </c>
      <c r="I18" s="700">
        <f>150+(50*3)</f>
        <v>300</v>
      </c>
      <c r="J18" s="700">
        <v>802</v>
      </c>
      <c r="K18" s="700">
        <f>(('642 PAYROLL'!K40/1000)*3)+(100*3)</f>
        <v>820.25519999999995</v>
      </c>
      <c r="L18" s="90" t="s">
        <v>670</v>
      </c>
    </row>
    <row r="19" spans="1:12" ht="18" hidden="1" customHeight="1" x14ac:dyDescent="0.3">
      <c r="A19" s="50" t="s">
        <v>462</v>
      </c>
      <c r="B19" s="59"/>
      <c r="C19" s="59">
        <v>22</v>
      </c>
      <c r="D19" s="59">
        <v>22</v>
      </c>
      <c r="E19" s="606"/>
      <c r="F19" s="700"/>
      <c r="G19" s="700"/>
      <c r="H19" s="700"/>
      <c r="I19" s="700"/>
      <c r="J19" s="700"/>
      <c r="K19" s="700"/>
      <c r="L19" s="90" t="s">
        <v>331</v>
      </c>
    </row>
    <row r="20" spans="1:12" ht="18" hidden="1" customHeight="1" x14ac:dyDescent="0.3">
      <c r="A20" s="50" t="s">
        <v>460</v>
      </c>
      <c r="B20" s="59"/>
      <c r="C20" s="59"/>
      <c r="D20" s="59"/>
      <c r="E20" s="606">
        <v>50</v>
      </c>
      <c r="F20" s="700">
        <v>50</v>
      </c>
      <c r="G20" s="700">
        <v>75</v>
      </c>
      <c r="H20" s="700">
        <v>50</v>
      </c>
      <c r="I20" s="700">
        <v>0</v>
      </c>
      <c r="J20" s="700">
        <v>0</v>
      </c>
      <c r="K20" s="700"/>
      <c r="L20" s="90"/>
    </row>
    <row r="21" spans="1:12" ht="18" customHeight="1" x14ac:dyDescent="0.3">
      <c r="A21" s="50"/>
      <c r="B21" s="59"/>
      <c r="C21" s="59"/>
      <c r="D21" s="59"/>
      <c r="E21" s="606"/>
      <c r="F21" s="700"/>
      <c r="G21" s="700"/>
      <c r="H21" s="700"/>
      <c r="I21" s="700"/>
      <c r="J21" s="700"/>
      <c r="K21" s="700"/>
      <c r="L21" s="90"/>
    </row>
    <row r="22" spans="1:12" ht="18" customHeight="1" x14ac:dyDescent="0.3">
      <c r="A22" s="757"/>
      <c r="B22" s="758">
        <v>-700</v>
      </c>
      <c r="C22" s="758"/>
      <c r="D22" s="758"/>
      <c r="E22" s="759"/>
      <c r="F22" s="760"/>
      <c r="G22" s="760"/>
      <c r="H22" s="760"/>
      <c r="I22" s="760"/>
      <c r="J22" s="760"/>
      <c r="K22" s="760"/>
      <c r="L22" s="90"/>
    </row>
    <row r="23" spans="1:12" ht="18" customHeight="1" x14ac:dyDescent="0.3">
      <c r="A23" s="761" t="s">
        <v>113</v>
      </c>
      <c r="B23" s="431">
        <f>SUM(B4:B22)</f>
        <v>1890</v>
      </c>
      <c r="C23" s="431">
        <f>SUM(C4:C22)</f>
        <v>3066</v>
      </c>
      <c r="D23" s="431">
        <f>SUM(D4:D22)</f>
        <v>4101</v>
      </c>
      <c r="E23" s="431">
        <f t="shared" ref="E23:J23" si="0">SUM(E5:E22)</f>
        <v>4004</v>
      </c>
      <c r="F23" s="762">
        <f t="shared" si="0"/>
        <v>3735</v>
      </c>
      <c r="G23" s="762">
        <f t="shared" si="0"/>
        <v>4399</v>
      </c>
      <c r="H23" s="762">
        <f t="shared" si="0"/>
        <v>4704</v>
      </c>
      <c r="I23" s="762">
        <f t="shared" si="0"/>
        <v>4669</v>
      </c>
      <c r="J23" s="762">
        <f t="shared" si="0"/>
        <v>5057</v>
      </c>
      <c r="K23" s="762">
        <f t="shared" ref="K23" si="1">SUM(K5:K22)</f>
        <v>5120.2551999999996</v>
      </c>
      <c r="L23" s="244"/>
    </row>
    <row r="24" spans="1:12" s="44" customFormat="1" ht="22.5" customHeight="1" x14ac:dyDescent="0.3">
      <c r="A24" s="95"/>
      <c r="B24" s="43"/>
      <c r="C24" s="25"/>
      <c r="D24" s="25"/>
      <c r="E24" s="25"/>
      <c r="F24" s="25"/>
      <c r="G24" s="25"/>
      <c r="H24" s="25"/>
      <c r="I24" s="25"/>
    </row>
    <row r="25" spans="1:12" ht="18.75" customHeight="1" x14ac:dyDescent="0.3">
      <c r="A25" s="16"/>
    </row>
    <row r="26" spans="1:12" ht="18.75" customHeight="1" x14ac:dyDescent="0.3">
      <c r="A26" s="233"/>
    </row>
    <row r="27" spans="1:12" ht="18.75" customHeight="1" x14ac:dyDescent="0.3">
      <c r="A27" s="233"/>
    </row>
  </sheetData>
  <sortState ref="A5:F24">
    <sortCondition ref="A5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8.28515625" style="95" bestFit="1" customWidth="1"/>
    <col min="2" max="2" width="11.7109375" style="43" hidden="1" customWidth="1"/>
    <col min="3" max="4" width="11.7109375" style="25" hidden="1" customWidth="1"/>
    <col min="5" max="8" width="11.42578125" style="25" hidden="1" customWidth="1"/>
    <col min="9" max="16384" width="9.140625" style="25"/>
  </cols>
  <sheetData>
    <row r="1" spans="1:11" s="196" customFormat="1" ht="18.75" customHeight="1" x14ac:dyDescent="0.3">
      <c r="A1" s="213" t="s">
        <v>499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2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99"/>
      <c r="B4" s="128"/>
      <c r="C4" s="128"/>
      <c r="D4" s="128"/>
      <c r="E4" s="128"/>
      <c r="F4" s="695"/>
      <c r="G4" s="695"/>
      <c r="H4" s="695"/>
      <c r="I4" s="695"/>
      <c r="J4" s="695"/>
      <c r="K4" s="695"/>
    </row>
    <row r="5" spans="1:11" ht="18" hidden="1" customHeight="1" x14ac:dyDescent="0.3">
      <c r="A5" s="163" t="s">
        <v>0</v>
      </c>
      <c r="B5" s="103">
        <v>300</v>
      </c>
      <c r="C5" s="103">
        <v>500</v>
      </c>
      <c r="D5" s="103">
        <v>500</v>
      </c>
      <c r="E5" s="103">
        <v>500</v>
      </c>
      <c r="F5" s="689">
        <v>500</v>
      </c>
      <c r="G5" s="689">
        <v>0</v>
      </c>
      <c r="H5" s="689">
        <v>0</v>
      </c>
      <c r="I5" s="689"/>
      <c r="J5" s="689"/>
      <c r="K5" s="689"/>
    </row>
    <row r="6" spans="1:11" ht="18" customHeight="1" x14ac:dyDescent="0.3">
      <c r="A6" s="163" t="s">
        <v>453</v>
      </c>
      <c r="B6" s="103">
        <v>300</v>
      </c>
      <c r="C6" s="103">
        <v>250</v>
      </c>
      <c r="D6" s="103">
        <v>0</v>
      </c>
      <c r="E6" s="103">
        <f>50*12</f>
        <v>600</v>
      </c>
      <c r="F6" s="689">
        <f>75*12</f>
        <v>900</v>
      </c>
      <c r="G6" s="689">
        <f>50*12</f>
        <v>600</v>
      </c>
      <c r="H6" s="689">
        <f>30*12</f>
        <v>360</v>
      </c>
      <c r="I6" s="689">
        <f>40*12</f>
        <v>480</v>
      </c>
      <c r="J6" s="689">
        <f>40*12</f>
        <v>480</v>
      </c>
      <c r="K6" s="689">
        <v>800</v>
      </c>
    </row>
    <row r="7" spans="1:11" ht="18" hidden="1" customHeight="1" x14ac:dyDescent="0.3">
      <c r="A7" s="345" t="s">
        <v>510</v>
      </c>
      <c r="B7" s="346">
        <v>15000</v>
      </c>
      <c r="C7" s="346">
        <v>7200</v>
      </c>
      <c r="D7" s="346">
        <v>7500</v>
      </c>
      <c r="E7" s="346">
        <v>7500</v>
      </c>
      <c r="F7" s="732">
        <v>0</v>
      </c>
      <c r="G7" s="732">
        <v>0</v>
      </c>
      <c r="H7" s="732">
        <v>0</v>
      </c>
      <c r="I7" s="732"/>
      <c r="J7" s="732"/>
      <c r="K7" s="732"/>
    </row>
    <row r="8" spans="1:11" ht="18" customHeight="1" x14ac:dyDescent="0.3">
      <c r="A8" s="163" t="s">
        <v>639</v>
      </c>
      <c r="B8" s="103">
        <v>850</v>
      </c>
      <c r="C8" s="103">
        <v>900</v>
      </c>
      <c r="D8" s="103">
        <v>1000</v>
      </c>
      <c r="E8" s="103">
        <v>895</v>
      </c>
      <c r="F8" s="689">
        <v>950</v>
      </c>
      <c r="G8" s="689">
        <v>1000</v>
      </c>
      <c r="H8" s="689">
        <f>1000+500</f>
        <v>1500</v>
      </c>
      <c r="I8" s="689">
        <f>3800</f>
        <v>3800</v>
      </c>
      <c r="J8" s="689">
        <f>3340+995-995+425+60+300</f>
        <v>4125</v>
      </c>
      <c r="K8" s="689">
        <f>3340+995-995+425+60+300</f>
        <v>4125</v>
      </c>
    </row>
    <row r="9" spans="1:11" ht="18" customHeight="1" x14ac:dyDescent="0.3">
      <c r="A9" s="163" t="s">
        <v>640</v>
      </c>
      <c r="B9" s="103"/>
      <c r="C9" s="103"/>
      <c r="D9" s="103"/>
      <c r="E9" s="103"/>
      <c r="F9" s="689"/>
      <c r="G9" s="689"/>
      <c r="H9" s="689"/>
      <c r="I9" s="689">
        <v>2020</v>
      </c>
      <c r="J9" s="689">
        <v>2200</v>
      </c>
      <c r="K9" s="689">
        <v>2200</v>
      </c>
    </row>
    <row r="10" spans="1:11" ht="18" customHeight="1" x14ac:dyDescent="0.3">
      <c r="A10" s="345" t="s">
        <v>435</v>
      </c>
      <c r="B10" s="346"/>
      <c r="C10" s="346">
        <v>2400</v>
      </c>
      <c r="D10" s="62">
        <f>60*75</f>
        <v>4500</v>
      </c>
      <c r="E10" s="62">
        <f>60*75</f>
        <v>4500</v>
      </c>
      <c r="F10" s="733">
        <f>66*75</f>
        <v>4950</v>
      </c>
      <c r="G10" s="733">
        <f>66*75</f>
        <v>4950</v>
      </c>
      <c r="H10" s="733">
        <f>66*75</f>
        <v>4950</v>
      </c>
      <c r="I10" s="733">
        <f>80*95</f>
        <v>7600</v>
      </c>
      <c r="J10" s="733">
        <f>80*95</f>
        <v>7600</v>
      </c>
      <c r="K10" s="733">
        <f>80*95</f>
        <v>7600</v>
      </c>
    </row>
    <row r="11" spans="1:11" ht="18" customHeight="1" x14ac:dyDescent="0.3">
      <c r="A11" s="63" t="s">
        <v>641</v>
      </c>
      <c r="B11" s="103">
        <v>200</v>
      </c>
      <c r="C11" s="103">
        <v>400</v>
      </c>
      <c r="D11" s="103">
        <v>500</v>
      </c>
      <c r="E11" s="103">
        <v>500</v>
      </c>
      <c r="F11" s="689">
        <v>450</v>
      </c>
      <c r="G11" s="689">
        <v>1000</v>
      </c>
      <c r="H11" s="689">
        <v>1000</v>
      </c>
      <c r="I11" s="689">
        <v>850</v>
      </c>
      <c r="J11" s="689">
        <v>850</v>
      </c>
      <c r="K11" s="689">
        <v>850</v>
      </c>
    </row>
    <row r="12" spans="1:11" ht="18" customHeight="1" x14ac:dyDescent="0.3">
      <c r="A12" s="63" t="s">
        <v>454</v>
      </c>
      <c r="B12" s="103">
        <v>1000</v>
      </c>
      <c r="C12" s="103">
        <v>2500</v>
      </c>
      <c r="D12" s="103">
        <v>1500</v>
      </c>
      <c r="E12" s="103">
        <f>650*2</f>
        <v>1300</v>
      </c>
      <c r="F12" s="689">
        <f>650*3</f>
        <v>1950</v>
      </c>
      <c r="G12" s="689">
        <f>675*6</f>
        <v>4050</v>
      </c>
      <c r="H12" s="689">
        <f>775*4</f>
        <v>3100</v>
      </c>
      <c r="I12" s="689">
        <f>775*4</f>
        <v>3100</v>
      </c>
      <c r="J12" s="689">
        <f>775*4</f>
        <v>3100</v>
      </c>
      <c r="K12" s="689">
        <f>900*6</f>
        <v>5400</v>
      </c>
    </row>
    <row r="13" spans="1:11" ht="18" customHeight="1" x14ac:dyDescent="0.3">
      <c r="A13" s="345" t="s">
        <v>393</v>
      </c>
      <c r="B13" s="346"/>
      <c r="C13" s="346">
        <v>250</v>
      </c>
      <c r="D13" s="346">
        <v>300</v>
      </c>
      <c r="E13" s="346">
        <v>300</v>
      </c>
      <c r="F13" s="732">
        <v>300</v>
      </c>
      <c r="G13" s="732">
        <v>300</v>
      </c>
      <c r="H13" s="732">
        <v>350</v>
      </c>
      <c r="I13" s="732">
        <v>425</v>
      </c>
      <c r="J13" s="732">
        <v>425</v>
      </c>
      <c r="K13" s="732">
        <v>450</v>
      </c>
    </row>
    <row r="14" spans="1:11" ht="18" customHeight="1" x14ac:dyDescent="0.3">
      <c r="A14" s="63" t="s">
        <v>391</v>
      </c>
      <c r="B14" s="103">
        <v>1000</v>
      </c>
      <c r="C14" s="103">
        <v>200</v>
      </c>
      <c r="D14" s="103">
        <v>2500</v>
      </c>
      <c r="E14" s="103">
        <v>2500</v>
      </c>
      <c r="F14" s="689">
        <v>2500</v>
      </c>
      <c r="G14" s="689">
        <v>2500</v>
      </c>
      <c r="H14" s="689">
        <v>2500</v>
      </c>
      <c r="I14" s="689">
        <v>2500</v>
      </c>
      <c r="J14" s="689">
        <v>2500</v>
      </c>
      <c r="K14" s="689">
        <v>2500</v>
      </c>
    </row>
    <row r="15" spans="1:11" ht="18" customHeight="1" x14ac:dyDescent="0.3">
      <c r="A15" s="63" t="s">
        <v>392</v>
      </c>
      <c r="B15" s="103">
        <v>500</v>
      </c>
      <c r="C15" s="103">
        <v>500</v>
      </c>
      <c r="D15" s="103">
        <v>500</v>
      </c>
      <c r="E15" s="103">
        <v>500</v>
      </c>
      <c r="F15" s="689">
        <v>600</v>
      </c>
      <c r="G15" s="689">
        <v>600</v>
      </c>
      <c r="H15" s="689">
        <v>600</v>
      </c>
      <c r="I15" s="689">
        <v>600</v>
      </c>
      <c r="J15" s="689">
        <v>600</v>
      </c>
      <c r="K15" s="689">
        <v>600</v>
      </c>
    </row>
    <row r="16" spans="1:11" ht="18" customHeight="1" x14ac:dyDescent="0.3">
      <c r="A16" s="444" t="s">
        <v>590</v>
      </c>
      <c r="B16" s="62"/>
      <c r="C16" s="62">
        <v>8000</v>
      </c>
      <c r="D16" s="62">
        <v>1000</v>
      </c>
      <c r="E16" s="62">
        <v>500</v>
      </c>
      <c r="F16" s="733">
        <v>500</v>
      </c>
      <c r="G16" s="733">
        <v>500</v>
      </c>
      <c r="H16" s="733">
        <v>500</v>
      </c>
      <c r="I16" s="733">
        <v>500</v>
      </c>
      <c r="J16" s="733">
        <v>500</v>
      </c>
      <c r="K16" s="733">
        <v>500</v>
      </c>
    </row>
    <row r="17" spans="1:11" ht="18" hidden="1" customHeight="1" x14ac:dyDescent="0.3">
      <c r="A17" s="445" t="s">
        <v>237</v>
      </c>
      <c r="B17" s="103">
        <v>200</v>
      </c>
      <c r="C17" s="103">
        <v>200</v>
      </c>
      <c r="D17" s="103">
        <v>200</v>
      </c>
      <c r="E17" s="103"/>
      <c r="F17" s="689"/>
      <c r="G17" s="689"/>
      <c r="H17" s="689"/>
      <c r="I17" s="689"/>
      <c r="J17" s="689"/>
      <c r="K17" s="689"/>
    </row>
    <row r="18" spans="1:11" ht="18" hidden="1" customHeight="1" x14ac:dyDescent="0.3">
      <c r="A18" s="345" t="s">
        <v>444</v>
      </c>
      <c r="B18" s="346"/>
      <c r="C18" s="346"/>
      <c r="D18" s="346"/>
      <c r="E18" s="346">
        <f>3500</f>
        <v>3500</v>
      </c>
      <c r="F18" s="732"/>
      <c r="G18" s="732"/>
      <c r="H18" s="732"/>
      <c r="I18" s="732"/>
      <c r="J18" s="732"/>
      <c r="K18" s="732"/>
    </row>
    <row r="19" spans="1:11" ht="18" customHeight="1" x14ac:dyDescent="0.3">
      <c r="A19" s="345" t="s">
        <v>642</v>
      </c>
      <c r="B19" s="346"/>
      <c r="C19" s="346"/>
      <c r="D19" s="346"/>
      <c r="E19" s="62">
        <f>1000*2</f>
        <v>2000</v>
      </c>
      <c r="F19" s="733">
        <v>1000</v>
      </c>
      <c r="G19" s="733">
        <v>1000</v>
      </c>
      <c r="H19" s="733">
        <v>600</v>
      </c>
      <c r="I19" s="733">
        <v>1500</v>
      </c>
      <c r="J19" s="733">
        <v>1800</v>
      </c>
      <c r="K19" s="733">
        <v>0</v>
      </c>
    </row>
    <row r="20" spans="1:11" ht="18" hidden="1" customHeight="1" x14ac:dyDescent="0.3">
      <c r="A20" s="345" t="s">
        <v>775</v>
      </c>
      <c r="B20" s="346"/>
      <c r="C20" s="346"/>
      <c r="D20" s="346"/>
      <c r="E20" s="346"/>
      <c r="F20" s="732">
        <f>(5*300)+(3*150)+(2*149)+(7*99)+9</f>
        <v>2950</v>
      </c>
      <c r="G20" s="732">
        <v>0</v>
      </c>
      <c r="H20" s="732">
        <v>750</v>
      </c>
      <c r="I20" s="732"/>
      <c r="J20" s="732"/>
      <c r="K20" s="732"/>
    </row>
    <row r="21" spans="1:11" ht="18" hidden="1" customHeight="1" x14ac:dyDescent="0.3">
      <c r="A21" s="345" t="s">
        <v>537</v>
      </c>
      <c r="B21" s="346"/>
      <c r="C21" s="346"/>
      <c r="D21" s="346"/>
      <c r="E21" s="346"/>
      <c r="F21" s="732">
        <f>250</f>
        <v>250</v>
      </c>
      <c r="G21" s="732">
        <v>0</v>
      </c>
      <c r="H21" s="732">
        <v>0</v>
      </c>
      <c r="I21" s="732"/>
      <c r="J21" s="732"/>
      <c r="K21" s="732"/>
    </row>
    <row r="22" spans="1:11" ht="18" customHeight="1" x14ac:dyDescent="0.3">
      <c r="A22" s="345" t="s">
        <v>591</v>
      </c>
      <c r="B22" s="346"/>
      <c r="C22" s="346"/>
      <c r="D22" s="346"/>
      <c r="E22" s="346"/>
      <c r="F22" s="732">
        <v>0</v>
      </c>
      <c r="G22" s="732">
        <v>0</v>
      </c>
      <c r="H22" s="732">
        <f>140*12</f>
        <v>1680</v>
      </c>
      <c r="I22" s="732">
        <f>175*12</f>
        <v>2100</v>
      </c>
      <c r="J22" s="732">
        <f>175*12</f>
        <v>2100</v>
      </c>
      <c r="K22" s="732">
        <f>175*12</f>
        <v>2100</v>
      </c>
    </row>
    <row r="23" spans="1:11" ht="18" hidden="1" customHeight="1" x14ac:dyDescent="0.3">
      <c r="A23" s="345" t="s">
        <v>643</v>
      </c>
      <c r="B23" s="875"/>
      <c r="C23" s="875"/>
      <c r="D23" s="875"/>
      <c r="E23" s="875"/>
      <c r="F23" s="876">
        <v>0</v>
      </c>
      <c r="G23" s="876">
        <v>0</v>
      </c>
      <c r="H23" s="876">
        <f>8.75*35*12</f>
        <v>3675</v>
      </c>
      <c r="I23" s="876"/>
      <c r="J23" s="876"/>
      <c r="K23" s="876"/>
    </row>
    <row r="24" spans="1:11" ht="18" customHeight="1" x14ac:dyDescent="0.3">
      <c r="A24" s="345" t="s">
        <v>592</v>
      </c>
      <c r="B24" s="875"/>
      <c r="C24" s="875"/>
      <c r="D24" s="875"/>
      <c r="E24" s="875"/>
      <c r="F24" s="876">
        <v>0</v>
      </c>
      <c r="G24" s="876">
        <v>0</v>
      </c>
      <c r="H24" s="876">
        <f>9*64*12</f>
        <v>6912</v>
      </c>
      <c r="I24" s="876">
        <f>512*12</f>
        <v>6144</v>
      </c>
      <c r="J24" s="876">
        <f>64*9</f>
        <v>576</v>
      </c>
      <c r="K24" s="876">
        <f>64*9</f>
        <v>576</v>
      </c>
    </row>
    <row r="25" spans="1:11" ht="18" customHeight="1" x14ac:dyDescent="0.3">
      <c r="A25" s="345" t="s">
        <v>860</v>
      </c>
      <c r="B25" s="875"/>
      <c r="C25" s="875"/>
      <c r="D25" s="875"/>
      <c r="E25" s="875"/>
      <c r="F25" s="876"/>
      <c r="G25" s="876"/>
      <c r="H25" s="876"/>
      <c r="I25" s="876"/>
      <c r="J25" s="876">
        <v>14000</v>
      </c>
      <c r="K25" s="876">
        <f>3500*3</f>
        <v>10500</v>
      </c>
    </row>
    <row r="26" spans="1:11" ht="18" customHeight="1" thickBot="1" x14ac:dyDescent="0.35">
      <c r="A26" s="447"/>
      <c r="B26" s="446">
        <v>-8000</v>
      </c>
      <c r="C26" s="446"/>
      <c r="D26" s="446"/>
      <c r="E26" s="446"/>
      <c r="F26" s="734"/>
      <c r="G26" s="734"/>
      <c r="H26" s="734"/>
      <c r="I26" s="734"/>
      <c r="J26" s="734"/>
      <c r="K26" s="734"/>
    </row>
    <row r="27" spans="1:11" ht="18" customHeight="1" x14ac:dyDescent="0.3">
      <c r="A27" s="217" t="s">
        <v>105</v>
      </c>
      <c r="B27" s="371">
        <f t="shared" ref="B27:H27" si="0">SUM(B4:B26)</f>
        <v>11350</v>
      </c>
      <c r="C27" s="371">
        <f t="shared" si="0"/>
        <v>23300</v>
      </c>
      <c r="D27" s="371">
        <f t="shared" si="0"/>
        <v>20000</v>
      </c>
      <c r="E27" s="371">
        <f t="shared" si="0"/>
        <v>25095</v>
      </c>
      <c r="F27" s="735">
        <f t="shared" si="0"/>
        <v>17800</v>
      </c>
      <c r="G27" s="735">
        <f t="shared" ref="G27" si="1">SUM(G4:G26)</f>
        <v>16500</v>
      </c>
      <c r="H27" s="735">
        <f t="shared" si="0"/>
        <v>28477</v>
      </c>
      <c r="I27" s="735">
        <f t="shared" ref="I27" si="2">SUM(I4:I26)</f>
        <v>31619</v>
      </c>
      <c r="J27" s="735">
        <f>SUM(J4:J26)</f>
        <v>40856</v>
      </c>
      <c r="K27" s="735">
        <f>SUM(K4:K26)</f>
        <v>38201</v>
      </c>
    </row>
    <row r="28" spans="1:11" ht="18" customHeight="1" x14ac:dyDescent="0.3"/>
    <row r="29" spans="1:11" ht="18" customHeight="1" x14ac:dyDescent="0.3">
      <c r="A29" s="25"/>
      <c r="B29" s="25"/>
    </row>
    <row r="30" spans="1:11" ht="18" customHeight="1" x14ac:dyDescent="0.3">
      <c r="A30" s="25"/>
      <c r="B30" s="25"/>
    </row>
    <row r="31" spans="1:11" s="44" customFormat="1" ht="20.25" customHeight="1" x14ac:dyDescent="0.3">
      <c r="A31" s="25"/>
      <c r="B31" s="25"/>
      <c r="C31" s="25"/>
      <c r="D31" s="25"/>
      <c r="E31" s="25"/>
      <c r="F31" s="25"/>
      <c r="G31" s="25"/>
      <c r="H31" s="25"/>
      <c r="I31" s="25"/>
    </row>
    <row r="32" spans="1:11" ht="18.75" customHeight="1" x14ac:dyDescent="0.3">
      <c r="A32" s="25"/>
      <c r="B32" s="25"/>
    </row>
    <row r="33" spans="1:2" ht="18.75" customHeight="1" x14ac:dyDescent="0.3">
      <c r="A33" s="25"/>
      <c r="B33" s="25"/>
    </row>
    <row r="34" spans="1:2" ht="18.75" customHeight="1" x14ac:dyDescent="0.3">
      <c r="A34" s="25"/>
      <c r="B34" s="25"/>
    </row>
    <row r="35" spans="1:2" ht="18" customHeight="1" x14ac:dyDescent="0.3">
      <c r="A35" s="25"/>
      <c r="B35" s="25"/>
    </row>
    <row r="36" spans="1:2" ht="18" customHeight="1" x14ac:dyDescent="0.3">
      <c r="A36" s="25"/>
      <c r="B36" s="25"/>
    </row>
    <row r="37" spans="1:2" ht="18" customHeight="1" x14ac:dyDescent="0.3">
      <c r="A37" s="25"/>
      <c r="B37" s="25"/>
    </row>
    <row r="38" spans="1:2" ht="18" customHeight="1" x14ac:dyDescent="0.3">
      <c r="A38" s="25"/>
      <c r="B38" s="25"/>
    </row>
    <row r="39" spans="1:2" ht="18" customHeight="1" x14ac:dyDescent="0.3">
      <c r="A39" s="25"/>
      <c r="B39" s="25"/>
    </row>
    <row r="40" spans="1:2" ht="18" customHeight="1" x14ac:dyDescent="0.3">
      <c r="A40" s="25"/>
      <c r="B40" s="25"/>
    </row>
    <row r="41" spans="1:2" ht="18" customHeight="1" x14ac:dyDescent="0.3">
      <c r="A41" s="25"/>
      <c r="B41" s="25"/>
    </row>
    <row r="42" spans="1:2" ht="18" customHeight="1" x14ac:dyDescent="0.3">
      <c r="A42" s="25"/>
      <c r="B42" s="25"/>
    </row>
    <row r="43" spans="1:2" ht="18" customHeight="1" x14ac:dyDescent="0.3">
      <c r="A43" s="25"/>
      <c r="B43" s="25"/>
    </row>
    <row r="44" spans="1:2" ht="18" customHeight="1" x14ac:dyDescent="0.3">
      <c r="A44" s="25"/>
      <c r="B44" s="25"/>
    </row>
    <row r="45" spans="1:2" ht="18" customHeight="1" x14ac:dyDescent="0.3">
      <c r="A45" s="25"/>
      <c r="B45" s="25"/>
    </row>
    <row r="46" spans="1:2" ht="18" customHeight="1" x14ac:dyDescent="0.3">
      <c r="A46" s="25"/>
      <c r="B46" s="25"/>
    </row>
    <row r="47" spans="1:2" ht="18" customHeight="1" x14ac:dyDescent="0.3">
      <c r="A47" s="25"/>
      <c r="B47" s="25"/>
    </row>
    <row r="48" spans="1:2" ht="18" customHeight="1" x14ac:dyDescent="0.3">
      <c r="A48" s="25"/>
      <c r="B48" s="25"/>
    </row>
    <row r="49" spans="1:2" ht="18" customHeight="1" x14ac:dyDescent="0.3">
      <c r="A49" s="25"/>
      <c r="B49" s="25"/>
    </row>
    <row r="50" spans="1:2" ht="18" customHeight="1" x14ac:dyDescent="0.3">
      <c r="A50" s="25"/>
      <c r="B50" s="25"/>
    </row>
    <row r="51" spans="1:2" ht="18" customHeight="1" x14ac:dyDescent="0.3">
      <c r="A51" s="25"/>
      <c r="B51" s="25"/>
    </row>
    <row r="52" spans="1:2" ht="18" customHeight="1" x14ac:dyDescent="0.3">
      <c r="A52" s="25"/>
      <c r="B52" s="25"/>
    </row>
    <row r="53" spans="1:2" ht="18" customHeight="1" x14ac:dyDescent="0.3">
      <c r="A53" s="25"/>
      <c r="B53" s="25"/>
    </row>
    <row r="54" spans="1:2" ht="18" customHeight="1" x14ac:dyDescent="0.3">
      <c r="A54" s="25"/>
      <c r="B54" s="25"/>
    </row>
    <row r="55" spans="1:2" ht="18" customHeight="1" x14ac:dyDescent="0.3">
      <c r="A55" s="25"/>
      <c r="B55" s="25"/>
    </row>
    <row r="56" spans="1:2" ht="18" customHeight="1" x14ac:dyDescent="0.3">
      <c r="A56" s="25"/>
      <c r="B56" s="25"/>
    </row>
    <row r="57" spans="1:2" ht="18" customHeight="1" x14ac:dyDescent="0.3">
      <c r="A57" s="25"/>
      <c r="B57" s="25"/>
    </row>
    <row r="58" spans="1:2" ht="18" customHeight="1" x14ac:dyDescent="0.3">
      <c r="A58" s="25"/>
      <c r="B58" s="25"/>
    </row>
    <row r="59" spans="1:2" ht="18" customHeight="1" x14ac:dyDescent="0.3">
      <c r="A59" s="25"/>
      <c r="B59" s="25"/>
    </row>
    <row r="60" spans="1:2" ht="18" customHeight="1" x14ac:dyDescent="0.3">
      <c r="A60" s="25"/>
      <c r="B60" s="25"/>
    </row>
    <row r="61" spans="1:2" ht="18" customHeight="1" x14ac:dyDescent="0.3">
      <c r="A61" s="25"/>
      <c r="B61" s="25"/>
    </row>
    <row r="62" spans="1:2" ht="18" customHeight="1" x14ac:dyDescent="0.3">
      <c r="A62" s="25"/>
      <c r="B62" s="25"/>
    </row>
    <row r="63" spans="1:2" ht="18" customHeight="1" x14ac:dyDescent="0.3">
      <c r="A63" s="25"/>
      <c r="B63" s="25"/>
    </row>
    <row r="64" spans="1:2" ht="18" customHeight="1" x14ac:dyDescent="0.3">
      <c r="A64" s="25"/>
      <c r="B64" s="25"/>
    </row>
    <row r="65" spans="1:2" ht="18" customHeight="1" x14ac:dyDescent="0.3">
      <c r="A65" s="25"/>
      <c r="B65" s="25"/>
    </row>
    <row r="66" spans="1:2" ht="18" customHeight="1" x14ac:dyDescent="0.3">
      <c r="A66" s="25"/>
      <c r="B66" s="25"/>
    </row>
    <row r="67" spans="1:2" ht="18" customHeight="1" x14ac:dyDescent="0.3">
      <c r="A67" s="25"/>
      <c r="B67" s="25"/>
    </row>
    <row r="68" spans="1:2" ht="18" customHeight="1" x14ac:dyDescent="0.3">
      <c r="A68" s="25"/>
      <c r="B68" s="25"/>
    </row>
    <row r="69" spans="1:2" ht="18" customHeight="1" x14ac:dyDescent="0.3">
      <c r="A69" s="25"/>
      <c r="B69" s="25"/>
    </row>
    <row r="70" spans="1:2" ht="18" customHeight="1" x14ac:dyDescent="0.3">
      <c r="A70" s="25"/>
      <c r="B70" s="25"/>
    </row>
    <row r="71" spans="1:2" ht="18.75" customHeight="1" x14ac:dyDescent="0.3">
      <c r="A71" s="25"/>
      <c r="B71" s="25"/>
    </row>
    <row r="72" spans="1:2" ht="18.75" customHeight="1" x14ac:dyDescent="0.3">
      <c r="A72" s="25"/>
      <c r="B72" s="25"/>
    </row>
    <row r="73" spans="1:2" ht="18.75" customHeight="1" x14ac:dyDescent="0.3">
      <c r="A73" s="25"/>
      <c r="B73" s="25"/>
    </row>
    <row r="74" spans="1:2" ht="18.75" customHeight="1" x14ac:dyDescent="0.3">
      <c r="A74" s="25"/>
      <c r="B74" s="25"/>
    </row>
    <row r="75" spans="1:2" ht="18.75" customHeight="1" x14ac:dyDescent="0.3">
      <c r="A75" s="25"/>
      <c r="B75" s="25"/>
    </row>
    <row r="76" spans="1:2" ht="18.75" customHeight="1" x14ac:dyDescent="0.3">
      <c r="A76" s="25"/>
      <c r="B76" s="25"/>
    </row>
    <row r="77" spans="1:2" ht="18.75" customHeight="1" x14ac:dyDescent="0.3">
      <c r="A77" s="25"/>
      <c r="B77" s="25"/>
    </row>
    <row r="78" spans="1:2" ht="18.75" customHeight="1" x14ac:dyDescent="0.3">
      <c r="A78" s="25"/>
      <c r="B78" s="25"/>
    </row>
    <row r="79" spans="1:2" ht="18.75" customHeight="1" x14ac:dyDescent="0.3">
      <c r="A79" s="25"/>
      <c r="B79" s="25"/>
    </row>
    <row r="80" spans="1:2" ht="18.75" customHeight="1" x14ac:dyDescent="0.3">
      <c r="A80" s="25"/>
      <c r="B80" s="25"/>
    </row>
    <row r="81" spans="1:2" ht="18.75" customHeight="1" x14ac:dyDescent="0.3">
      <c r="A81" s="25"/>
      <c r="B81" s="25"/>
    </row>
    <row r="82" spans="1:2" ht="18.75" customHeight="1" x14ac:dyDescent="0.3">
      <c r="A82" s="25"/>
      <c r="B82" s="25"/>
    </row>
    <row r="83" spans="1:2" ht="18.75" customHeight="1" x14ac:dyDescent="0.3">
      <c r="A83" s="25"/>
      <c r="B83" s="25"/>
    </row>
    <row r="84" spans="1:2" ht="18.75" customHeight="1" x14ac:dyDescent="0.3">
      <c r="A84" s="25"/>
      <c r="B84" s="25"/>
    </row>
    <row r="85" spans="1:2" ht="18.75" customHeight="1" x14ac:dyDescent="0.3">
      <c r="A85" s="25"/>
      <c r="B85" s="25"/>
    </row>
    <row r="86" spans="1:2" ht="18.75" customHeight="1" x14ac:dyDescent="0.3">
      <c r="A86" s="25"/>
      <c r="B86" s="25"/>
    </row>
    <row r="87" spans="1:2" ht="18.75" customHeight="1" x14ac:dyDescent="0.3">
      <c r="A87" s="25"/>
      <c r="B87" s="25"/>
    </row>
    <row r="88" spans="1:2" ht="18.75" customHeight="1" x14ac:dyDescent="0.3">
      <c r="A88" s="25"/>
      <c r="B88" s="25"/>
    </row>
    <row r="89" spans="1:2" ht="18.75" customHeight="1" x14ac:dyDescent="0.3">
      <c r="A89" s="25"/>
      <c r="B89" s="25"/>
    </row>
    <row r="90" spans="1:2" ht="18.75" customHeight="1" x14ac:dyDescent="0.3">
      <c r="A90" s="25"/>
      <c r="B90" s="25"/>
    </row>
    <row r="91" spans="1:2" ht="18.75" customHeight="1" x14ac:dyDescent="0.3">
      <c r="A91" s="25"/>
      <c r="B91" s="25"/>
    </row>
    <row r="92" spans="1:2" ht="18.75" customHeight="1" x14ac:dyDescent="0.3">
      <c r="A92" s="25"/>
      <c r="B92" s="25"/>
    </row>
    <row r="93" spans="1:2" ht="18.75" customHeight="1" x14ac:dyDescent="0.3">
      <c r="A93" s="25"/>
      <c r="B93" s="25"/>
    </row>
    <row r="94" spans="1:2" ht="18.75" customHeight="1" x14ac:dyDescent="0.3">
      <c r="A94" s="25"/>
      <c r="B94" s="25"/>
    </row>
    <row r="95" spans="1:2" ht="18.75" customHeight="1" x14ac:dyDescent="0.3">
      <c r="A95" s="25"/>
      <c r="B95" s="25"/>
    </row>
    <row r="96" spans="1:2" ht="18.75" customHeight="1" x14ac:dyDescent="0.3">
      <c r="A96" s="25"/>
      <c r="B96" s="25"/>
    </row>
    <row r="97" spans="1:2" ht="18.75" customHeight="1" x14ac:dyDescent="0.3">
      <c r="A97" s="25"/>
      <c r="B97" s="25"/>
    </row>
    <row r="98" spans="1:2" ht="18.75" customHeight="1" x14ac:dyDescent="0.3">
      <c r="A98" s="25"/>
      <c r="B98" s="25"/>
    </row>
    <row r="99" spans="1:2" ht="18.75" customHeight="1" x14ac:dyDescent="0.3">
      <c r="A99" s="25"/>
      <c r="B99" s="25"/>
    </row>
    <row r="100" spans="1:2" ht="18.75" customHeight="1" x14ac:dyDescent="0.3">
      <c r="A100" s="25"/>
      <c r="B100" s="25"/>
    </row>
    <row r="101" spans="1:2" ht="18.75" customHeight="1" x14ac:dyDescent="0.3">
      <c r="A101" s="25"/>
      <c r="B101" s="25"/>
    </row>
    <row r="102" spans="1:2" ht="18.75" customHeight="1" x14ac:dyDescent="0.3">
      <c r="A102" s="25"/>
      <c r="B102" s="25"/>
    </row>
    <row r="103" spans="1:2" ht="18.75" customHeight="1" x14ac:dyDescent="0.3">
      <c r="A103" s="25"/>
      <c r="B103" s="25"/>
    </row>
    <row r="104" spans="1:2" ht="18.75" customHeight="1" x14ac:dyDescent="0.3">
      <c r="A104" s="25"/>
      <c r="B104" s="25"/>
    </row>
    <row r="105" spans="1:2" ht="18.75" customHeight="1" x14ac:dyDescent="0.3">
      <c r="A105" s="25"/>
      <c r="B105" s="25"/>
    </row>
    <row r="106" spans="1:2" ht="18.75" customHeight="1" x14ac:dyDescent="0.3">
      <c r="A106" s="25"/>
      <c r="B106" s="25"/>
    </row>
    <row r="107" spans="1:2" ht="18.75" customHeight="1" x14ac:dyDescent="0.3">
      <c r="A107" s="25"/>
      <c r="B107" s="25"/>
    </row>
    <row r="108" spans="1:2" ht="18.75" customHeight="1" x14ac:dyDescent="0.3">
      <c r="A108" s="25"/>
      <c r="B108" s="25"/>
    </row>
    <row r="109" spans="1:2" ht="18.75" customHeight="1" x14ac:dyDescent="0.3">
      <c r="A109" s="25"/>
      <c r="B109" s="25"/>
    </row>
    <row r="110" spans="1:2" ht="18.75" customHeight="1" x14ac:dyDescent="0.3">
      <c r="A110" s="25"/>
      <c r="B110" s="25"/>
    </row>
    <row r="111" spans="1:2" ht="18.75" customHeight="1" x14ac:dyDescent="0.3">
      <c r="A111" s="25"/>
      <c r="B111" s="25"/>
    </row>
    <row r="112" spans="1:2" ht="18.75" customHeight="1" x14ac:dyDescent="0.3">
      <c r="A112" s="25"/>
      <c r="B112" s="25"/>
    </row>
  </sheetData>
  <sortState ref="A5:E27">
    <sortCondition ref="A5"/>
  </sortState>
  <phoneticPr fontId="20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ColWidth="9.140625" defaultRowHeight="14.25" x14ac:dyDescent="0.2"/>
  <cols>
    <col min="1" max="1" width="33.140625" style="183" bestFit="1" customWidth="1"/>
    <col min="2" max="8" width="11.7109375" style="183" hidden="1" customWidth="1"/>
    <col min="9" max="16384" width="9.140625" style="183"/>
  </cols>
  <sheetData>
    <row r="1" spans="1:11" ht="21" customHeight="1" x14ac:dyDescent="0.3">
      <c r="A1" s="551" t="s">
        <v>478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6.5" customHeight="1" x14ac:dyDescent="0.3">
      <c r="A2" s="191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7.25" customHeight="1" x14ac:dyDescent="0.3">
      <c r="A3" s="192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ht="18" customHeight="1" x14ac:dyDescent="0.3">
      <c r="A4" s="191"/>
      <c r="B4" s="99"/>
      <c r="C4" s="845"/>
      <c r="D4" s="845"/>
      <c r="E4" s="845"/>
      <c r="F4" s="845"/>
      <c r="G4" s="845"/>
      <c r="H4" s="845"/>
      <c r="I4" s="845"/>
      <c r="J4" s="845"/>
      <c r="K4" s="845"/>
    </row>
    <row r="5" spans="1:11" ht="16.5" x14ac:dyDescent="0.3">
      <c r="A5" s="193" t="s">
        <v>18</v>
      </c>
      <c r="B5" s="40">
        <v>28381.3</v>
      </c>
      <c r="C5" s="846">
        <v>32891.56</v>
      </c>
      <c r="D5" s="846">
        <f>REVENUE!E7*0.02</f>
        <v>33713.840000000004</v>
      </c>
      <c r="E5" s="846">
        <f>REVENUE!F7*0.02</f>
        <v>43741.98</v>
      </c>
      <c r="F5" s="847">
        <f>REVENUE!G7*0.02</f>
        <v>47827.66</v>
      </c>
      <c r="G5" s="848">
        <f>REVENUE!H7*0.02</f>
        <v>49740.766400000008</v>
      </c>
      <c r="H5" s="848">
        <f>REVENUE!I7*0.02</f>
        <v>51979.100888000001</v>
      </c>
      <c r="I5" s="848">
        <f>REVENUE!J7*0.02</f>
        <v>43671.055932400006</v>
      </c>
      <c r="J5" s="848">
        <f>REVENUE!K7*0.02</f>
        <v>60554.6</v>
      </c>
      <c r="K5" s="848">
        <f>REVENUE!L7*0.02</f>
        <v>60554.6</v>
      </c>
    </row>
    <row r="6" spans="1:11" ht="16.5" x14ac:dyDescent="0.3">
      <c r="A6" s="193" t="s">
        <v>434</v>
      </c>
      <c r="B6" s="40">
        <v>200</v>
      </c>
      <c r="C6" s="846">
        <v>200</v>
      </c>
      <c r="D6" s="846">
        <v>50</v>
      </c>
      <c r="E6" s="846">
        <v>25</v>
      </c>
      <c r="F6" s="847"/>
      <c r="G6" s="848"/>
      <c r="H6" s="848"/>
      <c r="I6" s="848"/>
      <c r="J6" s="848"/>
      <c r="K6" s="848"/>
    </row>
    <row r="7" spans="1:11" ht="16.5" hidden="1" x14ac:dyDescent="0.3">
      <c r="A7" s="193" t="s">
        <v>35</v>
      </c>
      <c r="B7" s="60">
        <v>12000</v>
      </c>
      <c r="C7" s="438">
        <v>0</v>
      </c>
      <c r="D7" s="438"/>
      <c r="E7" s="438"/>
      <c r="F7" s="704"/>
      <c r="G7" s="707"/>
      <c r="H7" s="707"/>
      <c r="I7" s="707"/>
      <c r="J7" s="707"/>
      <c r="K7" s="707"/>
    </row>
    <row r="8" spans="1:11" ht="16.5" x14ac:dyDescent="0.3">
      <c r="A8" s="429"/>
      <c r="B8" s="60"/>
      <c r="C8" s="438"/>
      <c r="D8" s="438"/>
      <c r="E8" s="438"/>
      <c r="F8" s="704"/>
      <c r="G8" s="707"/>
      <c r="H8" s="707"/>
      <c r="I8" s="707"/>
      <c r="J8" s="707"/>
      <c r="K8" s="707"/>
    </row>
    <row r="9" spans="1:11" ht="16.5" x14ac:dyDescent="0.3">
      <c r="A9" s="429"/>
      <c r="B9" s="60"/>
      <c r="C9" s="438"/>
      <c r="D9" s="438"/>
      <c r="E9" s="438"/>
      <c r="F9" s="704"/>
      <c r="G9" s="707"/>
      <c r="H9" s="707"/>
      <c r="I9" s="707"/>
      <c r="J9" s="707"/>
      <c r="K9" s="707"/>
    </row>
    <row r="10" spans="1:11" ht="16.5" x14ac:dyDescent="0.3">
      <c r="A10" s="484"/>
      <c r="B10" s="105"/>
      <c r="C10" s="439"/>
      <c r="D10" s="439"/>
      <c r="E10" s="439"/>
      <c r="F10" s="702"/>
      <c r="G10" s="703"/>
      <c r="H10" s="703"/>
      <c r="I10" s="703"/>
      <c r="J10" s="703"/>
      <c r="K10" s="703"/>
    </row>
    <row r="11" spans="1:11" ht="16.5" x14ac:dyDescent="0.3">
      <c r="A11" s="434"/>
      <c r="B11" s="442">
        <v>3041.01</v>
      </c>
      <c r="C11" s="849"/>
      <c r="D11" s="849"/>
      <c r="E11" s="849"/>
      <c r="F11" s="850"/>
      <c r="G11" s="851"/>
      <c r="H11" s="851"/>
      <c r="I11" s="851"/>
      <c r="J11" s="851"/>
      <c r="K11" s="851"/>
    </row>
    <row r="12" spans="1:11" ht="16.5" x14ac:dyDescent="0.3">
      <c r="A12" s="433" t="s">
        <v>139</v>
      </c>
      <c r="B12" s="852">
        <f>SUM(B4:B10)</f>
        <v>40581.300000000003</v>
      </c>
      <c r="C12" s="852">
        <f>SUM(C4:C10)</f>
        <v>33091.56</v>
      </c>
      <c r="D12" s="852">
        <f>SUM(D4:D11)</f>
        <v>33763.840000000004</v>
      </c>
      <c r="E12" s="852">
        <f t="shared" ref="E12:J12" si="0">SUM(E4:E10)</f>
        <v>43766.98</v>
      </c>
      <c r="F12" s="853">
        <f t="shared" si="0"/>
        <v>47827.66</v>
      </c>
      <c r="G12" s="853">
        <f t="shared" si="0"/>
        <v>49740.766400000008</v>
      </c>
      <c r="H12" s="853">
        <f t="shared" si="0"/>
        <v>51979.100888000001</v>
      </c>
      <c r="I12" s="853">
        <f t="shared" si="0"/>
        <v>43671.055932400006</v>
      </c>
      <c r="J12" s="853">
        <f t="shared" si="0"/>
        <v>60554.6</v>
      </c>
      <c r="K12" s="853">
        <f t="shared" ref="K12" si="1">SUM(K4:K10)</f>
        <v>60554.6</v>
      </c>
    </row>
    <row r="13" spans="1:11" ht="16.5" x14ac:dyDescent="0.3">
      <c r="A13" s="196"/>
      <c r="B13" s="109"/>
    </row>
    <row r="14" spans="1:11" ht="16.5" x14ac:dyDescent="0.3">
      <c r="A14" s="109"/>
      <c r="B14" s="109"/>
    </row>
    <row r="15" spans="1:11" ht="16.5" x14ac:dyDescent="0.3">
      <c r="A15" s="109"/>
      <c r="B15" s="109"/>
    </row>
    <row r="17" spans="1:1" ht="16.5" x14ac:dyDescent="0.3">
      <c r="A17" s="279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defaultColWidth="9.140625" defaultRowHeight="18.75" customHeight="1" x14ac:dyDescent="0.2"/>
  <cols>
    <col min="1" max="1" width="22.42578125" style="13" bestFit="1" customWidth="1"/>
    <col min="2" max="2" width="10.7109375" style="14" hidden="1" customWidth="1"/>
    <col min="3" max="8" width="10.7109375" style="94" hidden="1" customWidth="1"/>
    <col min="9" max="16384" width="9.140625" style="94"/>
  </cols>
  <sheetData>
    <row r="1" spans="1:11" s="179" customFormat="1" ht="22.5" customHeight="1" x14ac:dyDescent="0.3">
      <c r="A1" s="213" t="s">
        <v>500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179" customFormat="1" ht="18.75" customHeight="1" x14ac:dyDescent="0.3">
      <c r="A3" s="102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80" customFormat="1" ht="18.75" customHeight="1" x14ac:dyDescent="0.3">
      <c r="A4" s="52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ht="18.75" customHeight="1" x14ac:dyDescent="0.3">
      <c r="A5" s="52" t="s">
        <v>233</v>
      </c>
      <c r="B5" s="40">
        <v>50</v>
      </c>
      <c r="C5" s="40">
        <v>50</v>
      </c>
      <c r="D5" s="40">
        <v>50</v>
      </c>
      <c r="E5" s="40">
        <v>50</v>
      </c>
      <c r="F5" s="644">
        <v>40</v>
      </c>
      <c r="G5" s="644">
        <v>40</v>
      </c>
      <c r="H5" s="644">
        <v>40</v>
      </c>
      <c r="I5" s="644">
        <v>40</v>
      </c>
      <c r="J5" s="644">
        <v>40</v>
      </c>
      <c r="K5" s="644">
        <v>40</v>
      </c>
    </row>
    <row r="6" spans="1:11" ht="18.75" hidden="1" customHeight="1" x14ac:dyDescent="0.3">
      <c r="A6" s="52" t="s">
        <v>232</v>
      </c>
      <c r="B6" s="40">
        <v>1000</v>
      </c>
      <c r="C6" s="40"/>
      <c r="D6" s="531">
        <v>1800</v>
      </c>
      <c r="E6" s="531" t="s">
        <v>521</v>
      </c>
      <c r="F6" s="643" t="s">
        <v>521</v>
      </c>
      <c r="G6" s="643" t="s">
        <v>521</v>
      </c>
      <c r="H6" s="643" t="s">
        <v>521</v>
      </c>
      <c r="I6" s="643" t="s">
        <v>521</v>
      </c>
      <c r="J6" s="643" t="s">
        <v>521</v>
      </c>
      <c r="K6" s="643" t="s">
        <v>521</v>
      </c>
    </row>
    <row r="7" spans="1:11" ht="18.75" customHeight="1" x14ac:dyDescent="0.3">
      <c r="A7" s="52" t="s">
        <v>236</v>
      </c>
      <c r="B7" s="40">
        <v>40</v>
      </c>
      <c r="C7" s="40">
        <v>50</v>
      </c>
      <c r="D7" s="40">
        <v>50</v>
      </c>
      <c r="E7" s="40">
        <v>50</v>
      </c>
      <c r="F7" s="644">
        <v>75</v>
      </c>
      <c r="G7" s="644">
        <v>75</v>
      </c>
      <c r="H7" s="644">
        <v>200</v>
      </c>
      <c r="I7" s="644">
        <v>200</v>
      </c>
      <c r="J7" s="644">
        <v>350</v>
      </c>
      <c r="K7" s="644">
        <v>350</v>
      </c>
    </row>
    <row r="8" spans="1:11" ht="18.75" customHeight="1" x14ac:dyDescent="0.3">
      <c r="A8" s="52" t="s">
        <v>234</v>
      </c>
      <c r="B8" s="60">
        <v>10</v>
      </c>
      <c r="C8" s="60">
        <v>10</v>
      </c>
      <c r="D8" s="60">
        <v>10</v>
      </c>
      <c r="E8" s="60">
        <v>10</v>
      </c>
      <c r="F8" s="633">
        <v>10</v>
      </c>
      <c r="G8" s="633">
        <v>10</v>
      </c>
      <c r="H8" s="633">
        <v>10</v>
      </c>
      <c r="I8" s="633">
        <v>10</v>
      </c>
      <c r="J8" s="633">
        <v>10</v>
      </c>
      <c r="K8" s="633">
        <v>10</v>
      </c>
    </row>
    <row r="9" spans="1:11" ht="18.75" customHeight="1" x14ac:dyDescent="0.3">
      <c r="A9" s="52" t="s">
        <v>235</v>
      </c>
      <c r="B9" s="40">
        <v>800</v>
      </c>
      <c r="C9" s="40">
        <v>750</v>
      </c>
      <c r="D9" s="40">
        <v>750</v>
      </c>
      <c r="E9" s="40">
        <v>750</v>
      </c>
      <c r="F9" s="644">
        <v>750</v>
      </c>
      <c r="G9" s="644">
        <v>750</v>
      </c>
      <c r="H9" s="644">
        <v>800</v>
      </c>
      <c r="I9" s="644">
        <v>800</v>
      </c>
      <c r="J9" s="644">
        <v>1000</v>
      </c>
      <c r="K9" s="644">
        <v>1000</v>
      </c>
    </row>
    <row r="10" spans="1:11" s="179" customFormat="1" ht="18.75" customHeight="1" thickBot="1" x14ac:dyDescent="0.35">
      <c r="A10" s="283"/>
      <c r="B10" s="278">
        <v>-1100</v>
      </c>
      <c r="C10" s="278"/>
      <c r="D10" s="278"/>
      <c r="E10" s="278"/>
      <c r="F10" s="736"/>
      <c r="G10" s="736"/>
      <c r="H10" s="736"/>
      <c r="I10" s="736"/>
      <c r="J10" s="736"/>
      <c r="K10" s="736"/>
    </row>
    <row r="11" spans="1:11" ht="18.75" customHeight="1" thickTop="1" x14ac:dyDescent="0.3">
      <c r="A11" s="111" t="s">
        <v>113</v>
      </c>
      <c r="B11" s="110">
        <f t="shared" ref="B11:J11" si="0">SUM(B4:B10)</f>
        <v>800</v>
      </c>
      <c r="C11" s="110">
        <f t="shared" si="0"/>
        <v>860</v>
      </c>
      <c r="D11" s="110">
        <f t="shared" si="0"/>
        <v>2660</v>
      </c>
      <c r="E11" s="110">
        <f t="shared" si="0"/>
        <v>860</v>
      </c>
      <c r="F11" s="724">
        <f t="shared" si="0"/>
        <v>875</v>
      </c>
      <c r="G11" s="724">
        <f t="shared" si="0"/>
        <v>875</v>
      </c>
      <c r="H11" s="724">
        <f t="shared" si="0"/>
        <v>1050</v>
      </c>
      <c r="I11" s="724">
        <f t="shared" si="0"/>
        <v>1050</v>
      </c>
      <c r="J11" s="724">
        <f t="shared" si="0"/>
        <v>1400</v>
      </c>
      <c r="K11" s="724">
        <f t="shared" ref="K11" si="1">SUM(K4:K10)</f>
        <v>1400</v>
      </c>
    </row>
    <row r="12" spans="1:11" ht="18.75" customHeight="1" x14ac:dyDescent="0.3">
      <c r="A12" s="95"/>
      <c r="B12" s="43"/>
      <c r="C12" s="25"/>
    </row>
    <row r="13" spans="1:11" ht="18.75" customHeight="1" x14ac:dyDescent="0.3">
      <c r="A13" s="16"/>
      <c r="B13" s="43"/>
      <c r="C13" s="25"/>
    </row>
    <row r="14" spans="1:11" ht="18.75" customHeight="1" x14ac:dyDescent="0.3">
      <c r="A14" s="95"/>
      <c r="B14" s="43"/>
      <c r="C14" s="25"/>
    </row>
  </sheetData>
  <sortState ref="A5:E9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ColWidth="9.140625" defaultRowHeight="18.75" customHeight="1" x14ac:dyDescent="0.2"/>
  <cols>
    <col min="1" max="1" width="35.140625" style="3" bestFit="1" customWidth="1"/>
    <col min="2" max="2" width="10.7109375" style="4" hidden="1" customWidth="1"/>
    <col min="3" max="8" width="10.7109375" style="1" hidden="1" customWidth="1"/>
    <col min="9" max="16384" width="9.140625" style="1"/>
  </cols>
  <sheetData>
    <row r="1" spans="1:18" s="2" customFormat="1" ht="24" customHeight="1" x14ac:dyDescent="0.25">
      <c r="A1" s="256" t="s">
        <v>501</v>
      </c>
      <c r="B1" s="92"/>
      <c r="C1" s="89"/>
      <c r="D1" s="89"/>
      <c r="E1" s="89"/>
      <c r="F1" s="89"/>
      <c r="G1" s="89"/>
      <c r="H1" s="89"/>
      <c r="I1" s="89"/>
      <c r="J1" s="89"/>
      <c r="K1" s="89"/>
      <c r="L1"/>
      <c r="M1"/>
      <c r="N1"/>
      <c r="O1"/>
      <c r="P1"/>
      <c r="Q1"/>
      <c r="R1"/>
    </row>
    <row r="2" spans="1:18" ht="18.75" customHeight="1" x14ac:dyDescent="0.25">
      <c r="A2" s="49"/>
      <c r="B2" s="31"/>
      <c r="C2" s="49"/>
      <c r="D2" s="49"/>
      <c r="E2" s="49"/>
      <c r="F2" s="49"/>
      <c r="G2" s="49"/>
      <c r="H2" s="49"/>
      <c r="I2" s="49"/>
      <c r="J2" s="49"/>
      <c r="K2" s="49"/>
      <c r="L2"/>
      <c r="M2"/>
      <c r="N2"/>
      <c r="O2"/>
      <c r="P2"/>
      <c r="Q2"/>
      <c r="R2"/>
    </row>
    <row r="3" spans="1:18" s="2" customFormat="1" ht="18.75" customHeight="1" x14ac:dyDescent="0.3">
      <c r="A3" s="39" t="s">
        <v>115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07">
        <v>2018</v>
      </c>
      <c r="I3" s="107">
        <v>2019</v>
      </c>
      <c r="J3" s="107">
        <v>2020</v>
      </c>
      <c r="K3" s="107">
        <v>2021</v>
      </c>
      <c r="L3"/>
      <c r="M3"/>
      <c r="N3"/>
      <c r="O3"/>
      <c r="P3"/>
      <c r="Q3"/>
      <c r="R3"/>
    </row>
    <row r="4" spans="1:18" s="6" customFormat="1" ht="18.75" customHeight="1" x14ac:dyDescent="0.3">
      <c r="A4" s="99"/>
      <c r="B4" s="287"/>
      <c r="C4" s="287"/>
      <c r="D4" s="287"/>
      <c r="E4" s="287"/>
      <c r="F4" s="737"/>
      <c r="G4" s="737"/>
      <c r="H4" s="737"/>
      <c r="I4" s="737"/>
      <c r="J4" s="737"/>
      <c r="K4" s="737"/>
      <c r="L4"/>
      <c r="M4"/>
      <c r="N4"/>
      <c r="O4"/>
      <c r="P4"/>
      <c r="Q4"/>
      <c r="R4"/>
    </row>
    <row r="5" spans="1:18" s="2" customFormat="1" ht="24.95" customHeight="1" x14ac:dyDescent="0.3">
      <c r="A5" s="52" t="s">
        <v>116</v>
      </c>
      <c r="B5" s="107"/>
      <c r="C5" s="107"/>
      <c r="D5" s="107"/>
      <c r="E5" s="107"/>
      <c r="F5" s="710"/>
      <c r="G5" s="710"/>
      <c r="H5" s="710"/>
      <c r="I5" s="710"/>
      <c r="J5" s="710"/>
      <c r="K5" s="710"/>
      <c r="L5"/>
      <c r="M5"/>
      <c r="N5"/>
      <c r="O5"/>
      <c r="P5"/>
      <c r="Q5"/>
      <c r="R5"/>
    </row>
    <row r="6" spans="1:18" ht="24.95" customHeight="1" thickBot="1" x14ac:dyDescent="0.35">
      <c r="A6" s="64" t="s">
        <v>438</v>
      </c>
      <c r="B6" s="288">
        <v>325</v>
      </c>
      <c r="C6" s="288">
        <v>325</v>
      </c>
      <c r="D6" s="288">
        <v>1091</v>
      </c>
      <c r="E6" s="288">
        <f>286*4</f>
        <v>1144</v>
      </c>
      <c r="F6" s="646">
        <v>1100</v>
      </c>
      <c r="G6" s="646">
        <v>1100</v>
      </c>
      <c r="H6" s="646">
        <v>1100</v>
      </c>
      <c r="I6" s="646">
        <v>1100</v>
      </c>
      <c r="J6" s="646">
        <f>1188*1.05</f>
        <v>1247.4000000000001</v>
      </c>
      <c r="K6" s="646">
        <f>1188*1.05</f>
        <v>1247.4000000000001</v>
      </c>
      <c r="L6"/>
      <c r="M6"/>
      <c r="N6"/>
      <c r="O6"/>
      <c r="P6"/>
      <c r="Q6"/>
      <c r="R6"/>
    </row>
    <row r="7" spans="1:18" ht="24.95" customHeight="1" x14ac:dyDescent="0.3">
      <c r="A7" s="291" t="s">
        <v>242</v>
      </c>
      <c r="B7" s="292">
        <v>3000</v>
      </c>
      <c r="C7" s="292">
        <v>3500</v>
      </c>
      <c r="D7" s="292">
        <v>3092</v>
      </c>
      <c r="E7" s="292">
        <f>757.5*4</f>
        <v>3030</v>
      </c>
      <c r="F7" s="738">
        <v>3200</v>
      </c>
      <c r="G7" s="738">
        <v>3200</v>
      </c>
      <c r="H7" s="738">
        <v>3200</v>
      </c>
      <c r="I7" s="738">
        <v>3200</v>
      </c>
      <c r="J7" s="738">
        <f>3406*1.05</f>
        <v>3576.3</v>
      </c>
      <c r="K7" s="738">
        <f>3406*1.05</f>
        <v>3576.3</v>
      </c>
      <c r="L7"/>
      <c r="M7"/>
      <c r="N7"/>
      <c r="O7"/>
      <c r="P7"/>
      <c r="Q7"/>
      <c r="R7"/>
    </row>
    <row r="8" spans="1:18" ht="24.95" customHeight="1" thickBot="1" x14ac:dyDescent="0.35">
      <c r="A8" s="285" t="s">
        <v>243</v>
      </c>
      <c r="B8" s="289">
        <v>4000</v>
      </c>
      <c r="C8" s="289">
        <v>4000</v>
      </c>
      <c r="D8" s="289">
        <v>3939</v>
      </c>
      <c r="E8" s="289">
        <f>1070*4</f>
        <v>4280</v>
      </c>
      <c r="F8" s="739">
        <v>5000</v>
      </c>
      <c r="G8" s="739">
        <v>5000</v>
      </c>
      <c r="H8" s="739">
        <v>5000</v>
      </c>
      <c r="I8" s="739">
        <v>5000</v>
      </c>
      <c r="J8" s="739">
        <f>5675*1.05</f>
        <v>5958.75</v>
      </c>
      <c r="K8" s="739">
        <f>5675*1.05</f>
        <v>5958.75</v>
      </c>
      <c r="L8"/>
      <c r="M8"/>
      <c r="N8"/>
      <c r="O8"/>
      <c r="P8"/>
      <c r="Q8"/>
      <c r="R8"/>
    </row>
    <row r="9" spans="1:18" ht="24.95" customHeight="1" x14ac:dyDescent="0.3">
      <c r="A9" s="291" t="s">
        <v>241</v>
      </c>
      <c r="B9" s="292">
        <v>2500</v>
      </c>
      <c r="C9" s="292">
        <v>1500</v>
      </c>
      <c r="D9" s="292">
        <v>1541</v>
      </c>
      <c r="E9" s="292">
        <f>592*4</f>
        <v>2368</v>
      </c>
      <c r="F9" s="738">
        <v>2800</v>
      </c>
      <c r="G9" s="738">
        <v>2800</v>
      </c>
      <c r="H9" s="738">
        <v>3800</v>
      </c>
      <c r="I9" s="738">
        <v>3800</v>
      </c>
      <c r="J9" s="738">
        <f>4148*1.05</f>
        <v>4355.4000000000005</v>
      </c>
      <c r="K9" s="738">
        <f>4148*1.05</f>
        <v>4355.4000000000005</v>
      </c>
      <c r="L9"/>
      <c r="M9"/>
      <c r="N9"/>
      <c r="O9"/>
      <c r="P9"/>
      <c r="Q9"/>
      <c r="R9"/>
    </row>
    <row r="10" spans="1:18" ht="24.95" customHeight="1" thickBot="1" x14ac:dyDescent="0.35">
      <c r="A10" s="285" t="s">
        <v>240</v>
      </c>
      <c r="B10" s="289">
        <v>10000</v>
      </c>
      <c r="C10" s="289">
        <v>10500</v>
      </c>
      <c r="D10" s="289">
        <v>10728</v>
      </c>
      <c r="E10" s="289">
        <f>3385*4</f>
        <v>13540</v>
      </c>
      <c r="F10" s="739">
        <v>15000</v>
      </c>
      <c r="G10" s="739">
        <v>15000</v>
      </c>
      <c r="H10" s="739">
        <v>16000</v>
      </c>
      <c r="I10" s="739">
        <v>16000</v>
      </c>
      <c r="J10" s="739">
        <f>19134*1.05</f>
        <v>20090.7</v>
      </c>
      <c r="K10" s="739">
        <f>19134*1.05</f>
        <v>20090.7</v>
      </c>
      <c r="L10"/>
      <c r="M10"/>
      <c r="N10"/>
      <c r="O10"/>
      <c r="P10"/>
      <c r="Q10"/>
      <c r="R10"/>
    </row>
    <row r="11" spans="1:18" ht="24.95" customHeight="1" x14ac:dyDescent="0.3">
      <c r="A11" s="291" t="s">
        <v>238</v>
      </c>
      <c r="B11" s="293">
        <v>4500</v>
      </c>
      <c r="C11" s="293">
        <v>5000</v>
      </c>
      <c r="D11" s="293">
        <v>4945</v>
      </c>
      <c r="E11" s="293">
        <f>1342*4</f>
        <v>5368</v>
      </c>
      <c r="F11" s="740">
        <v>4600</v>
      </c>
      <c r="G11" s="740">
        <v>4600</v>
      </c>
      <c r="H11" s="740">
        <v>4800</v>
      </c>
      <c r="I11" s="740">
        <v>4800</v>
      </c>
      <c r="J11" s="740">
        <f>5186*1.05</f>
        <v>5445.3</v>
      </c>
      <c r="K11" s="740">
        <f>5186*1.05</f>
        <v>5445.3</v>
      </c>
      <c r="L11"/>
      <c r="M11"/>
      <c r="N11"/>
      <c r="O11"/>
      <c r="P11"/>
      <c r="Q11"/>
      <c r="R11"/>
    </row>
    <row r="12" spans="1:18" ht="18.75" hidden="1" customHeight="1" x14ac:dyDescent="0.3">
      <c r="A12" s="64" t="s">
        <v>439</v>
      </c>
      <c r="B12" s="241"/>
      <c r="C12" s="414"/>
      <c r="D12" s="194">
        <v>34</v>
      </c>
      <c r="E12" s="194">
        <v>34</v>
      </c>
      <c r="F12" s="634"/>
      <c r="G12" s="634"/>
      <c r="H12" s="634"/>
      <c r="I12" s="634"/>
      <c r="J12" s="634"/>
      <c r="K12" s="634"/>
      <c r="L12"/>
      <c r="M12"/>
      <c r="N12"/>
      <c r="O12"/>
      <c r="P12"/>
      <c r="Q12"/>
      <c r="R12"/>
    </row>
    <row r="13" spans="1:18" ht="18.75" customHeight="1" x14ac:dyDescent="0.3">
      <c r="A13" s="64" t="s">
        <v>533</v>
      </c>
      <c r="B13" s="241"/>
      <c r="C13" s="414"/>
      <c r="D13" s="414"/>
      <c r="E13" s="194"/>
      <c r="F13" s="634">
        <f>950*2</f>
        <v>1900</v>
      </c>
      <c r="G13" s="634">
        <v>1900</v>
      </c>
      <c r="H13" s="634">
        <v>1900</v>
      </c>
      <c r="I13" s="634">
        <v>1900</v>
      </c>
      <c r="J13" s="634">
        <v>2000</v>
      </c>
      <c r="K13" s="634">
        <v>2000</v>
      </c>
      <c r="L13"/>
      <c r="M13"/>
      <c r="N13"/>
      <c r="O13"/>
      <c r="P13"/>
      <c r="Q13"/>
      <c r="R13"/>
    </row>
    <row r="14" spans="1:18" ht="18.75" customHeight="1" x14ac:dyDescent="0.3">
      <c r="A14" s="64"/>
      <c r="B14" s="60"/>
      <c r="C14" s="194"/>
      <c r="D14" s="194"/>
      <c r="E14" s="194"/>
      <c r="F14" s="634"/>
      <c r="G14" s="634"/>
      <c r="H14" s="634"/>
      <c r="I14" s="634"/>
      <c r="J14" s="634"/>
      <c r="K14" s="634"/>
      <c r="L14" s="245"/>
      <c r="M14" s="245"/>
      <c r="N14" s="245"/>
      <c r="O14" s="245"/>
      <c r="P14" s="245"/>
      <c r="Q14" s="245"/>
      <c r="R14" s="245"/>
    </row>
    <row r="15" spans="1:18" ht="18.75" customHeight="1" thickBot="1" x14ac:dyDescent="0.35">
      <c r="A15" s="64"/>
      <c r="B15" s="278">
        <f>-825-26</f>
        <v>-851</v>
      </c>
      <c r="C15" s="575"/>
      <c r="D15" s="575"/>
      <c r="E15" s="575"/>
      <c r="F15" s="741"/>
      <c r="G15" s="741"/>
      <c r="H15" s="741"/>
      <c r="I15" s="741"/>
      <c r="J15" s="741"/>
      <c r="K15" s="741"/>
      <c r="L15" s="245"/>
      <c r="M15" s="245"/>
      <c r="N15" s="245"/>
      <c r="O15" s="245"/>
      <c r="P15" s="245"/>
      <c r="Q15" s="245"/>
      <c r="R15" s="245"/>
    </row>
    <row r="16" spans="1:18" ht="18.75" customHeight="1" thickTop="1" x14ac:dyDescent="0.3">
      <c r="A16" s="111" t="s">
        <v>113</v>
      </c>
      <c r="B16" s="42">
        <f>SUM(B4:B15)</f>
        <v>23474</v>
      </c>
      <c r="C16" s="42">
        <f>SUM(C4:C15)</f>
        <v>24825</v>
      </c>
      <c r="D16" s="42">
        <f>SUM(D4:D15)</f>
        <v>25370</v>
      </c>
      <c r="E16" s="42">
        <f>SUM(E4:E15)</f>
        <v>29764</v>
      </c>
      <c r="F16" s="647">
        <f>SUM(F6:F15)</f>
        <v>33600</v>
      </c>
      <c r="G16" s="647">
        <f>SUM(G4:G15)</f>
        <v>33600</v>
      </c>
      <c r="H16" s="647">
        <f>SUM(H4:H15)</f>
        <v>35800</v>
      </c>
      <c r="I16" s="647">
        <f>SUM(I4:I15)</f>
        <v>35800</v>
      </c>
      <c r="J16" s="647">
        <f>SUM(J4:J15)+26</f>
        <v>42699.850000000006</v>
      </c>
      <c r="K16" s="647">
        <f>SUM(K4:K15)</f>
        <v>42673.850000000006</v>
      </c>
      <c r="L16"/>
      <c r="M16"/>
      <c r="N16"/>
      <c r="O16"/>
      <c r="P16"/>
      <c r="Q16"/>
      <c r="R16"/>
    </row>
    <row r="17" spans="1:18" ht="18.75" customHeight="1" x14ac:dyDescent="0.3">
      <c r="A17" s="109"/>
      <c r="B17" s="109"/>
      <c r="C17" s="109"/>
      <c r="D17"/>
      <c r="E17" s="290"/>
      <c r="F17" s="290"/>
      <c r="G17" s="290"/>
      <c r="H17" s="290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25">
      <c r="A18" s="57"/>
      <c r="B18" s="22"/>
      <c r="C18" s="2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2">
      <c r="A19" s="22"/>
      <c r="B19" s="22"/>
      <c r="C19" s="2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2">
      <c r="A24"/>
      <c r="B24"/>
      <c r="C24"/>
      <c r="D24"/>
      <c r="E24"/>
      <c r="F24"/>
      <c r="G24"/>
      <c r="H24"/>
    </row>
    <row r="25" spans="1:18" ht="18.75" customHeight="1" x14ac:dyDescent="0.2">
      <c r="A25"/>
      <c r="B25"/>
      <c r="C25"/>
      <c r="D25"/>
      <c r="E25"/>
      <c r="F25"/>
      <c r="G25"/>
      <c r="H25"/>
    </row>
    <row r="26" spans="1:18" ht="18.75" customHeight="1" x14ac:dyDescent="0.2">
      <c r="A26"/>
      <c r="B26"/>
      <c r="C26"/>
      <c r="D26"/>
      <c r="E26"/>
      <c r="F26"/>
      <c r="G26"/>
      <c r="H26"/>
    </row>
    <row r="27" spans="1:18" ht="18.75" customHeight="1" x14ac:dyDescent="0.2">
      <c r="A27"/>
      <c r="B27"/>
      <c r="C27"/>
      <c r="D27"/>
      <c r="E27"/>
      <c r="F27"/>
      <c r="G27"/>
      <c r="H27"/>
    </row>
    <row r="28" spans="1:18" ht="18.75" customHeight="1" x14ac:dyDescent="0.2">
      <c r="A28"/>
      <c r="B28"/>
      <c r="C28"/>
      <c r="D28"/>
      <c r="E28"/>
      <c r="F28"/>
      <c r="G28"/>
      <c r="H28"/>
    </row>
    <row r="29" spans="1:18" ht="18.75" customHeight="1" x14ac:dyDescent="0.2">
      <c r="A29"/>
      <c r="B29"/>
      <c r="C29"/>
      <c r="D29"/>
      <c r="E29"/>
      <c r="F29"/>
      <c r="G29"/>
      <c r="H29"/>
    </row>
    <row r="30" spans="1:18" ht="18.75" customHeight="1" x14ac:dyDescent="0.2">
      <c r="A30"/>
      <c r="B30"/>
      <c r="C30"/>
      <c r="D30"/>
      <c r="E30"/>
      <c r="F30"/>
      <c r="G30"/>
      <c r="H30"/>
    </row>
    <row r="31" spans="1:18" ht="18.75" customHeight="1" x14ac:dyDescent="0.2">
      <c r="A31"/>
      <c r="B31"/>
      <c r="C31"/>
      <c r="D31"/>
      <c r="E31"/>
      <c r="F31"/>
      <c r="G31"/>
      <c r="H31"/>
    </row>
    <row r="32" spans="1:18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9.140625" defaultRowHeight="18.75" customHeight="1" x14ac:dyDescent="0.2"/>
  <cols>
    <col min="1" max="1" width="33.42578125" style="13" bestFit="1" customWidth="1"/>
    <col min="2" max="2" width="11.7109375" style="14" hidden="1" customWidth="1"/>
    <col min="3" max="8" width="11.7109375" style="94" hidden="1" customWidth="1"/>
    <col min="9" max="9" width="9.140625" style="94"/>
    <col min="10" max="11" width="9.5703125" style="94" bestFit="1" customWidth="1"/>
    <col min="12" max="16384" width="9.140625" style="94"/>
  </cols>
  <sheetData>
    <row r="1" spans="1:11" s="179" customFormat="1" ht="18.75" customHeight="1" x14ac:dyDescent="0.3">
      <c r="A1" s="213" t="s">
        <v>502</v>
      </c>
      <c r="B1" s="200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8.75" customHeight="1" x14ac:dyDescent="0.3">
      <c r="A2" s="39"/>
      <c r="B2" s="235"/>
      <c r="C2" s="39"/>
      <c r="D2" s="39"/>
      <c r="E2" s="39"/>
      <c r="F2" s="39"/>
      <c r="G2" s="39"/>
      <c r="H2" s="39"/>
      <c r="I2" s="39"/>
      <c r="J2" s="39"/>
      <c r="K2" s="39"/>
    </row>
    <row r="3" spans="1:11" s="179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80" customFormat="1" ht="18.75" customHeight="1" x14ac:dyDescent="0.3">
      <c r="A4" s="96"/>
      <c r="B4" s="115"/>
      <c r="C4" s="115"/>
      <c r="D4" s="115"/>
      <c r="E4" s="115"/>
      <c r="F4" s="684"/>
      <c r="G4" s="684"/>
      <c r="H4" s="684"/>
      <c r="I4" s="684"/>
      <c r="J4" s="684"/>
      <c r="K4" s="684"/>
    </row>
    <row r="5" spans="1:11" s="179" customFormat="1" ht="18.75" customHeight="1" x14ac:dyDescent="0.3">
      <c r="A5" s="61" t="s">
        <v>201</v>
      </c>
      <c r="B5" s="40">
        <v>500</v>
      </c>
      <c r="C5" s="40">
        <v>1000</v>
      </c>
      <c r="D5" s="40">
        <v>1000</v>
      </c>
      <c r="E5" s="40">
        <v>500</v>
      </c>
      <c r="F5" s="644">
        <v>500</v>
      </c>
      <c r="G5" s="644">
        <v>0</v>
      </c>
      <c r="H5" s="644">
        <v>0</v>
      </c>
      <c r="I5" s="644">
        <v>700</v>
      </c>
      <c r="J5" s="644">
        <v>700</v>
      </c>
      <c r="K5" s="644">
        <v>700</v>
      </c>
    </row>
    <row r="6" spans="1:11" ht="18.75" customHeight="1" x14ac:dyDescent="0.3">
      <c r="A6" s="67" t="s">
        <v>576</v>
      </c>
      <c r="B6" s="40">
        <v>15500</v>
      </c>
      <c r="C6" s="40">
        <v>12000</v>
      </c>
      <c r="D6" s="531">
        <v>12000</v>
      </c>
      <c r="E6" s="531">
        <v>15000</v>
      </c>
      <c r="F6" s="643">
        <v>12000</v>
      </c>
      <c r="G6" s="643">
        <v>12000</v>
      </c>
      <c r="H6" s="643">
        <v>14000</v>
      </c>
      <c r="I6" s="643">
        <v>15000</v>
      </c>
      <c r="J6" s="643">
        <v>16000</v>
      </c>
      <c r="K6" s="643">
        <v>16000</v>
      </c>
    </row>
    <row r="7" spans="1:11" ht="18.75" hidden="1" customHeight="1" x14ac:dyDescent="0.3">
      <c r="A7" s="61" t="s">
        <v>202</v>
      </c>
      <c r="B7" s="40">
        <v>1000</v>
      </c>
      <c r="C7" s="40">
        <v>2000</v>
      </c>
      <c r="D7" s="40">
        <v>4000</v>
      </c>
      <c r="E7" s="531"/>
      <c r="F7" s="643">
        <v>0</v>
      </c>
      <c r="G7" s="643">
        <v>0</v>
      </c>
      <c r="H7" s="643">
        <v>0</v>
      </c>
      <c r="I7" s="643">
        <v>0</v>
      </c>
      <c r="J7" s="643">
        <v>0</v>
      </c>
      <c r="K7" s="643">
        <v>0</v>
      </c>
    </row>
    <row r="8" spans="1:11" ht="18.75" customHeight="1" x14ac:dyDescent="0.3">
      <c r="A8" s="61" t="s">
        <v>606</v>
      </c>
      <c r="B8" s="40">
        <v>10000</v>
      </c>
      <c r="C8" s="40">
        <v>10000</v>
      </c>
      <c r="D8" s="40">
        <v>10000</v>
      </c>
      <c r="E8" s="40">
        <v>9000</v>
      </c>
      <c r="F8" s="644">
        <v>8000</v>
      </c>
      <c r="G8" s="644">
        <v>8000</v>
      </c>
      <c r="H8" s="644">
        <v>8000</v>
      </c>
      <c r="I8" s="644">
        <v>8000</v>
      </c>
      <c r="J8" s="644">
        <v>8000</v>
      </c>
      <c r="K8" s="644">
        <v>8000</v>
      </c>
    </row>
    <row r="9" spans="1:11" ht="18.75" customHeight="1" x14ac:dyDescent="0.3">
      <c r="A9" s="61" t="s">
        <v>310</v>
      </c>
      <c r="B9" s="60">
        <v>20000</v>
      </c>
      <c r="C9" s="60">
        <v>16000</v>
      </c>
      <c r="D9" s="60">
        <f>1000*12</f>
        <v>12000</v>
      </c>
      <c r="E9" s="60">
        <f>1000*12</f>
        <v>12000</v>
      </c>
      <c r="F9" s="633">
        <f>1000*12</f>
        <v>12000</v>
      </c>
      <c r="G9" s="633">
        <f>1000*12</f>
        <v>12000</v>
      </c>
      <c r="H9" s="633">
        <f>1000*12</f>
        <v>12000</v>
      </c>
      <c r="I9" s="633">
        <f>1100*12</f>
        <v>13200</v>
      </c>
      <c r="J9" s="633">
        <f>1150*12</f>
        <v>13800</v>
      </c>
      <c r="K9" s="633">
        <f>1150*12</f>
        <v>13800</v>
      </c>
    </row>
    <row r="10" spans="1:11" ht="18.75" customHeight="1" x14ac:dyDescent="0.3">
      <c r="A10" s="61" t="s">
        <v>810</v>
      </c>
      <c r="B10" s="241"/>
      <c r="C10" s="60"/>
      <c r="D10" s="60"/>
      <c r="E10" s="60"/>
      <c r="F10" s="633"/>
      <c r="G10" s="633"/>
      <c r="H10" s="633"/>
      <c r="I10" s="633"/>
      <c r="J10" s="633">
        <v>150000</v>
      </c>
      <c r="K10" s="633"/>
    </row>
    <row r="11" spans="1:11" ht="18.75" customHeight="1" x14ac:dyDescent="0.3">
      <c r="A11" s="452" t="s">
        <v>819</v>
      </c>
      <c r="B11" s="241"/>
      <c r="C11" s="60"/>
      <c r="D11" s="60"/>
      <c r="E11" s="60"/>
      <c r="F11" s="633"/>
      <c r="G11" s="633"/>
      <c r="H11" s="633"/>
      <c r="I11" s="633"/>
      <c r="J11" s="633"/>
      <c r="K11" s="633">
        <v>500000</v>
      </c>
    </row>
    <row r="12" spans="1:11" ht="18.75" customHeight="1" x14ac:dyDescent="0.3">
      <c r="A12" s="448"/>
      <c r="B12" s="60"/>
      <c r="C12" s="60"/>
      <c r="D12" s="60"/>
      <c r="E12" s="60"/>
      <c r="F12" s="633"/>
      <c r="G12" s="633"/>
      <c r="H12" s="633"/>
      <c r="I12" s="633"/>
      <c r="J12" s="633"/>
      <c r="K12" s="633"/>
    </row>
    <row r="13" spans="1:11" ht="18.75" customHeight="1" thickBot="1" x14ac:dyDescent="0.35">
      <c r="A13" s="448"/>
      <c r="B13" s="278">
        <v>-15000</v>
      </c>
      <c r="C13" s="278"/>
      <c r="D13" s="278"/>
      <c r="E13" s="278"/>
      <c r="F13" s="736"/>
      <c r="G13" s="736"/>
      <c r="H13" s="736"/>
      <c r="I13" s="736"/>
      <c r="J13" s="736"/>
      <c r="K13" s="736"/>
    </row>
    <row r="14" spans="1:11" ht="18.75" customHeight="1" thickTop="1" x14ac:dyDescent="0.3">
      <c r="A14" s="101" t="s">
        <v>113</v>
      </c>
      <c r="B14" s="243">
        <f t="shared" ref="B14:H14" si="0">SUM(B4:B13)</f>
        <v>32000</v>
      </c>
      <c r="C14" s="243">
        <f t="shared" si="0"/>
        <v>41000</v>
      </c>
      <c r="D14" s="243">
        <f t="shared" si="0"/>
        <v>39000</v>
      </c>
      <c r="E14" s="243">
        <f t="shared" si="0"/>
        <v>36500</v>
      </c>
      <c r="F14" s="742">
        <f t="shared" si="0"/>
        <v>32500</v>
      </c>
      <c r="G14" s="742">
        <f t="shared" ref="G14" si="1">SUM(G4:G13)</f>
        <v>32000</v>
      </c>
      <c r="H14" s="742">
        <f t="shared" si="0"/>
        <v>34000</v>
      </c>
      <c r="I14" s="742">
        <f t="shared" ref="I14:J14" si="2">SUM(I4:I13)</f>
        <v>36900</v>
      </c>
      <c r="J14" s="742">
        <f t="shared" si="2"/>
        <v>188500</v>
      </c>
      <c r="K14" s="742">
        <f>SUM(K4:K13)</f>
        <v>538500</v>
      </c>
    </row>
    <row r="15" spans="1:11" ht="18.75" customHeight="1" x14ac:dyDescent="0.3">
      <c r="A15" s="109"/>
      <c r="B15" s="109"/>
      <c r="C15" s="25"/>
      <c r="D15" s="25"/>
    </row>
    <row r="16" spans="1:11" ht="18.75" customHeight="1" x14ac:dyDescent="0.2">
      <c r="A16" s="183"/>
      <c r="B16" s="183"/>
    </row>
    <row r="17" spans="1:2" ht="18.75" customHeight="1" x14ac:dyDescent="0.2">
      <c r="A17" s="183"/>
      <c r="B17" s="183"/>
    </row>
    <row r="18" spans="1:2" ht="18.75" customHeight="1" x14ac:dyDescent="0.2">
      <c r="A18" s="183"/>
      <c r="B18" s="183"/>
    </row>
    <row r="19" spans="1:2" ht="18.75" customHeight="1" x14ac:dyDescent="0.2">
      <c r="A19" s="183"/>
      <c r="B19" s="183"/>
    </row>
    <row r="20" spans="1:2" ht="18.75" customHeight="1" x14ac:dyDescent="0.2">
      <c r="A20" s="183"/>
      <c r="B20" s="183"/>
    </row>
    <row r="21" spans="1:2" ht="18.75" customHeight="1" x14ac:dyDescent="0.2">
      <c r="A21" s="183"/>
      <c r="B21" s="183"/>
    </row>
    <row r="22" spans="1:2" ht="18.75" customHeight="1" x14ac:dyDescent="0.2">
      <c r="A22" s="183"/>
      <c r="B22" s="183"/>
    </row>
    <row r="23" spans="1:2" ht="18.75" customHeight="1" x14ac:dyDescent="0.2">
      <c r="A23" s="183"/>
      <c r="B23" s="183"/>
    </row>
    <row r="24" spans="1:2" ht="18.75" customHeight="1" x14ac:dyDescent="0.2">
      <c r="A24" s="183"/>
      <c r="B24" s="183"/>
    </row>
    <row r="25" spans="1:2" ht="18.75" customHeight="1" x14ac:dyDescent="0.2">
      <c r="A25" s="183"/>
      <c r="B25" s="183"/>
    </row>
    <row r="26" spans="1:2" ht="18.75" customHeight="1" x14ac:dyDescent="0.2">
      <c r="A26" s="183"/>
      <c r="B26" s="183"/>
    </row>
    <row r="27" spans="1:2" ht="18.75" customHeight="1" x14ac:dyDescent="0.2">
      <c r="A27" s="183"/>
      <c r="B27" s="183"/>
    </row>
    <row r="28" spans="1:2" ht="18.75" customHeight="1" x14ac:dyDescent="0.2">
      <c r="A28" s="183"/>
      <c r="B28" s="183"/>
    </row>
    <row r="29" spans="1:2" ht="18.75" customHeight="1" x14ac:dyDescent="0.2">
      <c r="A29" s="183"/>
      <c r="B29" s="183"/>
    </row>
  </sheetData>
  <sortState ref="A6:E10">
    <sortCondition ref="A5"/>
  </sortState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2"/>
  <cols>
    <col min="1" max="1" width="39.7109375" style="13" bestFit="1" customWidth="1"/>
    <col min="2" max="2" width="10.85546875" style="14" hidden="1" customWidth="1"/>
    <col min="3" max="8" width="10.85546875" style="94" hidden="1" customWidth="1"/>
    <col min="9" max="16384" width="9.140625" style="94"/>
  </cols>
  <sheetData>
    <row r="1" spans="1:11" s="179" customFormat="1" ht="18.75" customHeight="1" x14ac:dyDescent="0.3">
      <c r="A1" s="213" t="s">
        <v>503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179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80" customFormat="1" ht="18.75" customHeight="1" x14ac:dyDescent="0.3">
      <c r="A4" s="115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s="180" customFormat="1" ht="18.75" customHeight="1" x14ac:dyDescent="0.3">
      <c r="A5" s="61"/>
      <c r="B5" s="40"/>
      <c r="C5" s="40"/>
      <c r="D5" s="40"/>
      <c r="E5" s="40"/>
      <c r="F5" s="644"/>
      <c r="G5" s="644"/>
      <c r="H5" s="644"/>
      <c r="I5" s="644"/>
      <c r="J5" s="644"/>
      <c r="K5" s="644"/>
    </row>
    <row r="6" spans="1:11" s="180" customFormat="1" ht="18.75" customHeight="1" x14ac:dyDescent="0.3">
      <c r="A6" s="108" t="s">
        <v>853</v>
      </c>
      <c r="B6" s="40">
        <v>7500</v>
      </c>
      <c r="C6" s="40">
        <v>8000</v>
      </c>
      <c r="D6" s="40">
        <v>8000</v>
      </c>
      <c r="E6" s="40">
        <v>8000</v>
      </c>
      <c r="F6" s="644">
        <v>8600</v>
      </c>
      <c r="G6" s="644">
        <v>7500</v>
      </c>
      <c r="H6" s="644">
        <v>7800</v>
      </c>
      <c r="I6" s="644">
        <v>7800</v>
      </c>
      <c r="J6" s="644">
        <v>7800</v>
      </c>
      <c r="K6" s="644">
        <v>7800</v>
      </c>
    </row>
    <row r="7" spans="1:11" s="180" customFormat="1" ht="18.75" customHeight="1" x14ac:dyDescent="0.3">
      <c r="A7" s="61" t="s">
        <v>455</v>
      </c>
      <c r="B7" s="40">
        <v>100</v>
      </c>
      <c r="C7" s="40">
        <v>100</v>
      </c>
      <c r="D7" s="40">
        <v>125</v>
      </c>
      <c r="E7" s="40">
        <v>130</v>
      </c>
      <c r="F7" s="644">
        <v>150</v>
      </c>
      <c r="G7" s="644">
        <v>0</v>
      </c>
      <c r="H7" s="644">
        <v>0</v>
      </c>
      <c r="I7" s="644">
        <v>0</v>
      </c>
      <c r="J7" s="644">
        <v>0</v>
      </c>
      <c r="K7" s="644">
        <f>3*15</f>
        <v>45</v>
      </c>
    </row>
    <row r="8" spans="1:11" ht="18.75" hidden="1" customHeight="1" x14ac:dyDescent="0.3">
      <c r="A8" s="67" t="s">
        <v>644</v>
      </c>
      <c r="B8" s="40"/>
      <c r="C8" s="40"/>
      <c r="D8" s="40"/>
      <c r="E8" s="40"/>
      <c r="F8" s="644"/>
      <c r="G8" s="644"/>
      <c r="H8" s="644">
        <v>50000</v>
      </c>
      <c r="I8" s="644">
        <v>0</v>
      </c>
      <c r="J8" s="644">
        <v>0</v>
      </c>
      <c r="K8" s="644">
        <v>0</v>
      </c>
    </row>
    <row r="9" spans="1:11" ht="18.75" customHeight="1" x14ac:dyDescent="0.3">
      <c r="A9" s="53"/>
      <c r="B9" s="450"/>
      <c r="C9" s="241"/>
      <c r="D9" s="241"/>
      <c r="E9" s="241"/>
      <c r="F9" s="743"/>
      <c r="G9" s="743"/>
      <c r="H9" s="743"/>
      <c r="I9" s="743"/>
      <c r="J9" s="743"/>
      <c r="K9" s="743"/>
    </row>
    <row r="10" spans="1:11" ht="18.75" customHeight="1" x14ac:dyDescent="0.3">
      <c r="A10" s="53"/>
      <c r="B10" s="451"/>
      <c r="C10" s="449"/>
      <c r="D10" s="449"/>
      <c r="E10" s="449"/>
      <c r="F10" s="744"/>
      <c r="G10" s="744"/>
      <c r="H10" s="744"/>
      <c r="I10" s="744"/>
      <c r="J10" s="744"/>
      <c r="K10" s="744"/>
    </row>
    <row r="11" spans="1:11" ht="18.75" customHeight="1" x14ac:dyDescent="0.3">
      <c r="A11" s="53"/>
      <c r="B11" s="451"/>
      <c r="C11" s="449"/>
      <c r="D11" s="449"/>
      <c r="E11" s="449"/>
      <c r="F11" s="744"/>
      <c r="G11" s="744"/>
      <c r="H11" s="744"/>
      <c r="I11" s="744"/>
      <c r="J11" s="744"/>
      <c r="K11" s="744"/>
    </row>
    <row r="12" spans="1:11" ht="18.75" customHeight="1" thickBot="1" x14ac:dyDescent="0.35">
      <c r="A12" s="53"/>
      <c r="B12" s="105">
        <v>-7600</v>
      </c>
      <c r="C12" s="105"/>
      <c r="D12" s="105"/>
      <c r="E12" s="105"/>
      <c r="F12" s="723"/>
      <c r="G12" s="723"/>
      <c r="H12" s="723"/>
      <c r="I12" s="723"/>
      <c r="J12" s="723"/>
      <c r="K12" s="723"/>
    </row>
    <row r="13" spans="1:11" s="179" customFormat="1" ht="18.75" customHeight="1" thickTop="1" x14ac:dyDescent="0.3">
      <c r="A13" s="101" t="s">
        <v>113</v>
      </c>
      <c r="B13" s="42">
        <f t="shared" ref="B13:H13" si="0">SUM(B4:B12)</f>
        <v>0</v>
      </c>
      <c r="C13" s="42">
        <f t="shared" si="0"/>
        <v>8100</v>
      </c>
      <c r="D13" s="42">
        <f t="shared" si="0"/>
        <v>8125</v>
      </c>
      <c r="E13" s="42">
        <f t="shared" si="0"/>
        <v>8130</v>
      </c>
      <c r="F13" s="647">
        <f t="shared" si="0"/>
        <v>8750</v>
      </c>
      <c r="G13" s="647">
        <f t="shared" ref="G13" si="1">SUM(G4:G12)</f>
        <v>7500</v>
      </c>
      <c r="H13" s="647">
        <f t="shared" si="0"/>
        <v>57800</v>
      </c>
      <c r="I13" s="647">
        <f t="shared" ref="I13:J13" si="2">SUM(I4:I12)</f>
        <v>7800</v>
      </c>
      <c r="J13" s="647">
        <f t="shared" si="2"/>
        <v>7800</v>
      </c>
      <c r="K13" s="647">
        <f t="shared" ref="K13" si="3">SUM(K4:K12)</f>
        <v>7845</v>
      </c>
    </row>
    <row r="14" spans="1:11" ht="18.75" customHeight="1" x14ac:dyDescent="0.3">
      <c r="A14" s="95"/>
      <c r="B14" s="43"/>
      <c r="C14" s="25"/>
    </row>
    <row r="15" spans="1:11" ht="18.75" customHeight="1" x14ac:dyDescent="0.3">
      <c r="A15" s="95"/>
      <c r="B15" s="43"/>
      <c r="C15" s="25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/>
  </sheetViews>
  <sheetFormatPr defaultColWidth="9.140625" defaultRowHeight="18.75" customHeight="1" x14ac:dyDescent="0.3"/>
  <cols>
    <col min="1" max="1" width="32.42578125" style="95" bestFit="1" customWidth="1"/>
    <col min="2" max="4" width="10.7109375" style="25" hidden="1" customWidth="1"/>
    <col min="5" max="8" width="11.28515625" style="25" hidden="1" customWidth="1"/>
    <col min="9" max="9" width="10" style="25" bestFit="1" customWidth="1"/>
    <col min="10" max="16384" width="9.140625" style="25"/>
  </cols>
  <sheetData>
    <row r="1" spans="1:12" s="44" customFormat="1" ht="18.75" customHeight="1" x14ac:dyDescent="0.3">
      <c r="A1" s="213" t="s">
        <v>504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2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2" s="44" customFormat="1" ht="16.5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2" s="44" customFormat="1" ht="16.5" x14ac:dyDescent="0.3">
      <c r="A4" s="52" t="s">
        <v>776</v>
      </c>
      <c r="B4" s="40">
        <v>1200</v>
      </c>
      <c r="C4" s="40">
        <v>2250</v>
      </c>
      <c r="D4" s="531">
        <f>230*12</f>
        <v>2760</v>
      </c>
      <c r="E4" s="531">
        <f>265*12</f>
        <v>3180</v>
      </c>
      <c r="F4" s="643">
        <f t="shared" ref="F4:K4" si="0">380*12</f>
        <v>4560</v>
      </c>
      <c r="G4" s="643">
        <f t="shared" si="0"/>
        <v>4560</v>
      </c>
      <c r="H4" s="643">
        <f t="shared" si="0"/>
        <v>4560</v>
      </c>
      <c r="I4" s="643">
        <f t="shared" si="0"/>
        <v>4560</v>
      </c>
      <c r="J4" s="643">
        <f t="shared" si="0"/>
        <v>4560</v>
      </c>
      <c r="K4" s="643">
        <f t="shared" si="0"/>
        <v>4560</v>
      </c>
    </row>
    <row r="5" spans="1:12" s="44" customFormat="1" ht="18.75" customHeight="1" x14ac:dyDescent="0.3">
      <c r="A5" s="52" t="s">
        <v>440</v>
      </c>
      <c r="B5" s="40">
        <v>4200</v>
      </c>
      <c r="C5" s="40">
        <v>3000</v>
      </c>
      <c r="D5" s="531">
        <f>250*12</f>
        <v>3000</v>
      </c>
      <c r="E5" s="531">
        <f>230*12</f>
        <v>2760</v>
      </c>
      <c r="F5" s="643">
        <f>200*12</f>
        <v>2400</v>
      </c>
      <c r="G5" s="643">
        <f>200*12</f>
        <v>2400</v>
      </c>
      <c r="H5" s="643">
        <f>300*12</f>
        <v>3600</v>
      </c>
      <c r="I5" s="643">
        <f>(250*12)+(800*3)</f>
        <v>5400</v>
      </c>
      <c r="J5" s="643">
        <f>(250*12)</f>
        <v>3000</v>
      </c>
      <c r="K5" s="643">
        <f>(250*12)</f>
        <v>3000</v>
      </c>
      <c r="L5" s="90" t="s">
        <v>670</v>
      </c>
    </row>
    <row r="6" spans="1:12" ht="18.75" hidden="1" customHeight="1" x14ac:dyDescent="0.3">
      <c r="A6" s="52" t="s">
        <v>289</v>
      </c>
      <c r="B6" s="40">
        <v>400</v>
      </c>
      <c r="C6" s="40">
        <v>200</v>
      </c>
      <c r="D6" s="40">
        <v>200</v>
      </c>
      <c r="E6" s="40">
        <v>200</v>
      </c>
      <c r="F6" s="644">
        <v>100</v>
      </c>
      <c r="G6" s="644"/>
      <c r="H6" s="644"/>
      <c r="I6" s="644"/>
      <c r="J6" s="644"/>
      <c r="K6" s="644"/>
    </row>
    <row r="7" spans="1:12" s="44" customFormat="1" ht="18.75" hidden="1" customHeight="1" x14ac:dyDescent="0.3">
      <c r="A7" s="52" t="s">
        <v>538</v>
      </c>
      <c r="B7" s="40">
        <v>4200</v>
      </c>
      <c r="C7" s="40">
        <v>4080</v>
      </c>
      <c r="D7" s="531">
        <f>45*8*12</f>
        <v>4320</v>
      </c>
      <c r="E7" s="531">
        <f>45*8*12</f>
        <v>4320</v>
      </c>
      <c r="F7" s="643">
        <f>(15*189)+(15*189)+(5*189)</f>
        <v>6615</v>
      </c>
      <c r="G7" s="643"/>
      <c r="H7" s="643"/>
      <c r="I7" s="643"/>
      <c r="J7" s="643"/>
      <c r="K7" s="643"/>
    </row>
    <row r="8" spans="1:12" ht="18.75" customHeight="1" x14ac:dyDescent="0.3">
      <c r="A8" s="61" t="s">
        <v>539</v>
      </c>
      <c r="B8" s="60"/>
      <c r="C8" s="60"/>
      <c r="D8" s="60"/>
      <c r="E8" s="60"/>
      <c r="F8" s="633">
        <f>(10*2*12)+(100000*0.01)</f>
        <v>1240</v>
      </c>
      <c r="G8" s="633">
        <f>(10*2*12)+(100000*0.01)</f>
        <v>1240</v>
      </c>
      <c r="H8" s="633">
        <f>(10*3*12)+(100000*0.01)</f>
        <v>1360</v>
      </c>
      <c r="I8" s="633">
        <f>(10*3*12)+(100000*0.01)</f>
        <v>1360</v>
      </c>
      <c r="J8" s="633">
        <f>(10*3*12)+(100000*0.01)</f>
        <v>1360</v>
      </c>
      <c r="K8" s="633">
        <f>(10*3*12)+(100000*0.01)</f>
        <v>1360</v>
      </c>
    </row>
    <row r="9" spans="1:12" ht="18.75" customHeight="1" x14ac:dyDescent="0.3">
      <c r="A9" s="61"/>
      <c r="B9" s="60"/>
      <c r="C9" s="60"/>
      <c r="D9" s="60"/>
      <c r="E9" s="60"/>
      <c r="F9" s="633"/>
      <c r="G9" s="633"/>
      <c r="H9" s="633"/>
      <c r="I9" s="633"/>
      <c r="J9" s="633"/>
      <c r="K9" s="633"/>
    </row>
    <row r="10" spans="1:12" ht="18.75" customHeight="1" x14ac:dyDescent="0.3">
      <c r="A10" s="96"/>
      <c r="B10" s="60"/>
      <c r="C10" s="60"/>
      <c r="D10" s="60"/>
      <c r="E10" s="60"/>
      <c r="F10" s="633"/>
      <c r="G10" s="633"/>
      <c r="H10" s="633"/>
      <c r="I10" s="633"/>
      <c r="J10" s="633"/>
      <c r="K10" s="633"/>
    </row>
    <row r="11" spans="1:12" ht="18.75" customHeight="1" x14ac:dyDescent="0.3">
      <c r="A11" s="61"/>
      <c r="B11" s="60">
        <v>300</v>
      </c>
      <c r="C11" s="60"/>
      <c r="D11" s="60"/>
      <c r="E11" s="60"/>
      <c r="F11" s="633"/>
      <c r="G11" s="633"/>
      <c r="H11" s="633"/>
      <c r="I11" s="633"/>
      <c r="J11" s="633"/>
      <c r="K11" s="633"/>
    </row>
    <row r="12" spans="1:12" ht="18.75" customHeight="1" x14ac:dyDescent="0.3">
      <c r="A12" s="101" t="s">
        <v>113</v>
      </c>
      <c r="B12" s="120">
        <f t="shared" ref="B12:H12" si="1">SUM(B4:B11)</f>
        <v>10300</v>
      </c>
      <c r="C12" s="120">
        <f t="shared" si="1"/>
        <v>9530</v>
      </c>
      <c r="D12" s="120">
        <f t="shared" si="1"/>
        <v>10280</v>
      </c>
      <c r="E12" s="120">
        <f t="shared" si="1"/>
        <v>10460</v>
      </c>
      <c r="F12" s="745">
        <f t="shared" si="1"/>
        <v>14915</v>
      </c>
      <c r="G12" s="745">
        <f t="shared" ref="G12" si="2">SUM(G4:G11)</f>
        <v>8200</v>
      </c>
      <c r="H12" s="745">
        <f t="shared" si="1"/>
        <v>9520</v>
      </c>
      <c r="I12" s="745">
        <f t="shared" ref="I12:J12" si="3">SUM(I4:I11)</f>
        <v>11320</v>
      </c>
      <c r="J12" s="745">
        <f t="shared" si="3"/>
        <v>8920</v>
      </c>
      <c r="K12" s="745">
        <f t="shared" ref="K12" si="4">SUM(K4:K11)</f>
        <v>8920</v>
      </c>
    </row>
    <row r="14" spans="1:12" ht="18.75" customHeight="1" x14ac:dyDescent="0.3">
      <c r="A14" s="16"/>
    </row>
  </sheetData>
  <sortState ref="A5:E7">
    <sortCondition ref="A5:A7"/>
  </sortState>
  <phoneticPr fontId="20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/>
  </sheetViews>
  <sheetFormatPr defaultColWidth="9.140625" defaultRowHeight="18.75" customHeight="1" x14ac:dyDescent="0.2"/>
  <cols>
    <col min="1" max="1" width="31.42578125" style="13" bestFit="1" customWidth="1"/>
    <col min="2" max="2" width="12.28515625" style="14" hidden="1" customWidth="1"/>
    <col min="3" max="8" width="12.28515625" style="94" hidden="1" customWidth="1"/>
    <col min="9" max="16384" width="9.140625" style="94"/>
  </cols>
  <sheetData>
    <row r="1" spans="1:11" s="179" customFormat="1" ht="18.75" customHeight="1" x14ac:dyDescent="0.3">
      <c r="A1" s="213" t="s">
        <v>505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179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79" customFormat="1" ht="18.75" customHeight="1" x14ac:dyDescent="0.3">
      <c r="A4" s="67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s="179" customFormat="1" ht="18.75" customHeight="1" x14ac:dyDescent="0.25">
      <c r="A5" s="55" t="s">
        <v>394</v>
      </c>
      <c r="B5" s="189">
        <v>15000</v>
      </c>
      <c r="C5" s="189">
        <v>18720</v>
      </c>
      <c r="D5" s="226">
        <v>18720</v>
      </c>
      <c r="E5" s="226">
        <f>1200*12</f>
        <v>14400</v>
      </c>
      <c r="F5" s="686">
        <f t="shared" ref="F5:K5" si="0">1000*12</f>
        <v>12000</v>
      </c>
      <c r="G5" s="686">
        <f t="shared" si="0"/>
        <v>12000</v>
      </c>
      <c r="H5" s="686">
        <f t="shared" si="0"/>
        <v>12000</v>
      </c>
      <c r="I5" s="686">
        <f t="shared" si="0"/>
        <v>12000</v>
      </c>
      <c r="J5" s="686">
        <f t="shared" si="0"/>
        <v>12000</v>
      </c>
      <c r="K5" s="686">
        <f t="shared" si="0"/>
        <v>12000</v>
      </c>
    </row>
    <row r="6" spans="1:11" s="179" customFormat="1" ht="18.75" customHeight="1" x14ac:dyDescent="0.25">
      <c r="A6" s="55" t="s">
        <v>397</v>
      </c>
      <c r="B6" s="189">
        <v>15000</v>
      </c>
      <c r="C6" s="189">
        <v>15600</v>
      </c>
      <c r="D6" s="226">
        <v>15600</v>
      </c>
      <c r="E6" s="226">
        <f>1300*12</f>
        <v>15600</v>
      </c>
      <c r="F6" s="686">
        <f t="shared" ref="F6:K6" si="1">1200*12</f>
        <v>14400</v>
      </c>
      <c r="G6" s="686">
        <f t="shared" si="1"/>
        <v>14400</v>
      </c>
      <c r="H6" s="686">
        <f t="shared" si="1"/>
        <v>14400</v>
      </c>
      <c r="I6" s="686">
        <f t="shared" si="1"/>
        <v>14400</v>
      </c>
      <c r="J6" s="686">
        <f t="shared" si="1"/>
        <v>14400</v>
      </c>
      <c r="K6" s="686">
        <f t="shared" si="1"/>
        <v>14400</v>
      </c>
    </row>
    <row r="7" spans="1:11" s="179" customFormat="1" ht="18.75" customHeight="1" x14ac:dyDescent="0.25">
      <c r="A7" s="55" t="s">
        <v>511</v>
      </c>
      <c r="B7" s="189">
        <v>1500</v>
      </c>
      <c r="C7" s="189">
        <v>1920</v>
      </c>
      <c r="D7" s="226">
        <v>1940</v>
      </c>
      <c r="E7" s="226">
        <f>200*12</f>
        <v>2400</v>
      </c>
      <c r="F7" s="686">
        <f t="shared" ref="F7:K7" si="2">180*12</f>
        <v>2160</v>
      </c>
      <c r="G7" s="686">
        <f t="shared" si="2"/>
        <v>2160</v>
      </c>
      <c r="H7" s="686">
        <f t="shared" si="2"/>
        <v>2160</v>
      </c>
      <c r="I7" s="686">
        <f t="shared" si="2"/>
        <v>2160</v>
      </c>
      <c r="J7" s="686">
        <f t="shared" si="2"/>
        <v>2160</v>
      </c>
      <c r="K7" s="686">
        <f t="shared" si="2"/>
        <v>2160</v>
      </c>
    </row>
    <row r="8" spans="1:11" s="179" customFormat="1" ht="18.75" customHeight="1" x14ac:dyDescent="0.25">
      <c r="A8" s="55" t="s">
        <v>672</v>
      </c>
      <c r="B8" s="54">
        <v>4000</v>
      </c>
      <c r="C8" s="54">
        <v>5600</v>
      </c>
      <c r="D8" s="56">
        <v>5600</v>
      </c>
      <c r="E8" s="56">
        <f>600*12</f>
        <v>7200</v>
      </c>
      <c r="F8" s="621">
        <f t="shared" ref="F8:K8" si="3">400*12</f>
        <v>4800</v>
      </c>
      <c r="G8" s="621">
        <f t="shared" si="3"/>
        <v>4800</v>
      </c>
      <c r="H8" s="621">
        <f t="shared" si="3"/>
        <v>4800</v>
      </c>
      <c r="I8" s="621">
        <f t="shared" si="3"/>
        <v>4800</v>
      </c>
      <c r="J8" s="621">
        <f t="shared" si="3"/>
        <v>4800</v>
      </c>
      <c r="K8" s="621">
        <f t="shared" si="3"/>
        <v>4800</v>
      </c>
    </row>
    <row r="9" spans="1:11" ht="18.75" customHeight="1" x14ac:dyDescent="0.2">
      <c r="A9" s="228" t="s">
        <v>540</v>
      </c>
      <c r="B9" s="54">
        <v>5700</v>
      </c>
      <c r="C9" s="54">
        <v>6600</v>
      </c>
      <c r="D9" s="56">
        <v>6600</v>
      </c>
      <c r="E9" s="56">
        <f>(261*12)+(301*12)</f>
        <v>6744</v>
      </c>
      <c r="F9" s="621">
        <f t="shared" ref="F9:K9" si="4">((8.29+28.92+31.99+4.39+20)*12)+((8.29+28.92+30+31.99+4.39+10.79+20)*12)</f>
        <v>2735.64</v>
      </c>
      <c r="G9" s="621">
        <f t="shared" si="4"/>
        <v>2735.64</v>
      </c>
      <c r="H9" s="621">
        <f t="shared" si="4"/>
        <v>2735.64</v>
      </c>
      <c r="I9" s="621">
        <f t="shared" si="4"/>
        <v>2735.64</v>
      </c>
      <c r="J9" s="621">
        <f t="shared" si="4"/>
        <v>2735.64</v>
      </c>
      <c r="K9" s="621">
        <f t="shared" si="4"/>
        <v>2735.64</v>
      </c>
    </row>
    <row r="10" spans="1:11" ht="18.75" customHeight="1" x14ac:dyDescent="0.2">
      <c r="A10" s="55" t="s">
        <v>415</v>
      </c>
      <c r="B10" s="189">
        <v>3000</v>
      </c>
      <c r="C10" s="189">
        <v>2670</v>
      </c>
      <c r="D10" s="226">
        <v>2670</v>
      </c>
      <c r="E10" s="226">
        <f>250*12</f>
        <v>3000</v>
      </c>
      <c r="F10" s="686">
        <f t="shared" ref="F10:K10" si="5">320*12</f>
        <v>3840</v>
      </c>
      <c r="G10" s="686">
        <f t="shared" si="5"/>
        <v>3840</v>
      </c>
      <c r="H10" s="686">
        <f t="shared" si="5"/>
        <v>3840</v>
      </c>
      <c r="I10" s="686">
        <f t="shared" si="5"/>
        <v>3840</v>
      </c>
      <c r="J10" s="686">
        <f t="shared" si="5"/>
        <v>3840</v>
      </c>
      <c r="K10" s="686">
        <f t="shared" si="5"/>
        <v>3840</v>
      </c>
    </row>
    <row r="11" spans="1:11" ht="18.75" customHeight="1" x14ac:dyDescent="0.2">
      <c r="A11" s="55" t="s">
        <v>416</v>
      </c>
      <c r="B11" s="189"/>
      <c r="C11" s="189">
        <v>2370</v>
      </c>
      <c r="D11" s="226">
        <v>2370</v>
      </c>
      <c r="E11" s="226">
        <f>240*12</f>
        <v>2880</v>
      </c>
      <c r="F11" s="686">
        <f t="shared" ref="F11:K11" si="6">220*12</f>
        <v>2640</v>
      </c>
      <c r="G11" s="686">
        <f t="shared" si="6"/>
        <v>2640</v>
      </c>
      <c r="H11" s="686">
        <f t="shared" si="6"/>
        <v>2640</v>
      </c>
      <c r="I11" s="686">
        <f t="shared" si="6"/>
        <v>2640</v>
      </c>
      <c r="J11" s="686">
        <f t="shared" si="6"/>
        <v>2640</v>
      </c>
      <c r="K11" s="686">
        <f t="shared" si="6"/>
        <v>2640</v>
      </c>
    </row>
    <row r="12" spans="1:11" ht="18.75" customHeight="1" x14ac:dyDescent="0.2">
      <c r="A12" s="55" t="s">
        <v>395</v>
      </c>
      <c r="B12" s="189">
        <v>8400</v>
      </c>
      <c r="C12" s="189">
        <v>8100</v>
      </c>
      <c r="D12" s="226">
        <v>8100</v>
      </c>
      <c r="E12" s="226">
        <f t="shared" ref="E12:K12" si="7">675*12</f>
        <v>8100</v>
      </c>
      <c r="F12" s="686">
        <f t="shared" si="7"/>
        <v>8100</v>
      </c>
      <c r="G12" s="686">
        <f t="shared" si="7"/>
        <v>8100</v>
      </c>
      <c r="H12" s="686">
        <f t="shared" si="7"/>
        <v>8100</v>
      </c>
      <c r="I12" s="686">
        <f t="shared" si="7"/>
        <v>8100</v>
      </c>
      <c r="J12" s="686">
        <f t="shared" si="7"/>
        <v>8100</v>
      </c>
      <c r="K12" s="686">
        <f t="shared" si="7"/>
        <v>8100</v>
      </c>
    </row>
    <row r="13" spans="1:11" ht="18.75" customHeight="1" x14ac:dyDescent="0.2">
      <c r="A13" s="55" t="s">
        <v>396</v>
      </c>
      <c r="B13" s="189">
        <v>8800</v>
      </c>
      <c r="C13" s="189">
        <v>12000</v>
      </c>
      <c r="D13" s="226">
        <v>10000</v>
      </c>
      <c r="E13" s="226">
        <f>1200*12</f>
        <v>14400</v>
      </c>
      <c r="F13" s="686">
        <f t="shared" ref="F13:K13" si="8">1400*12</f>
        <v>16800</v>
      </c>
      <c r="G13" s="686">
        <f t="shared" si="8"/>
        <v>16800</v>
      </c>
      <c r="H13" s="686">
        <f t="shared" si="8"/>
        <v>16800</v>
      </c>
      <c r="I13" s="686">
        <f t="shared" si="8"/>
        <v>16800</v>
      </c>
      <c r="J13" s="686">
        <f t="shared" si="8"/>
        <v>16800</v>
      </c>
      <c r="K13" s="686">
        <f t="shared" si="8"/>
        <v>16800</v>
      </c>
    </row>
    <row r="14" spans="1:11" ht="18.75" customHeight="1" x14ac:dyDescent="0.2">
      <c r="A14" s="273" t="s">
        <v>541</v>
      </c>
      <c r="B14" s="267"/>
      <c r="C14" s="267"/>
      <c r="D14" s="267"/>
      <c r="E14" s="267"/>
      <c r="F14" s="718">
        <f>(399*12)+((49*2)*12)</f>
        <v>5964</v>
      </c>
      <c r="G14" s="718">
        <f>(399*12)+((49*2)*12)</f>
        <v>5964</v>
      </c>
      <c r="H14" s="718">
        <f>(499*12)+((49*2)*12)</f>
        <v>7164</v>
      </c>
      <c r="I14" s="718">
        <f>(499*12)+((49*2)*12)</f>
        <v>7164</v>
      </c>
      <c r="J14" s="718">
        <f>(499*12)+((49*2)*12)</f>
        <v>7164</v>
      </c>
      <c r="K14" s="718">
        <f>(499*12)+((49*2)*12)</f>
        <v>7164</v>
      </c>
    </row>
    <row r="15" spans="1:11" ht="18.75" customHeight="1" x14ac:dyDescent="0.2">
      <c r="A15" s="273"/>
      <c r="B15" s="267"/>
      <c r="C15" s="267"/>
      <c r="D15" s="267"/>
      <c r="E15" s="267"/>
      <c r="F15" s="718"/>
      <c r="G15" s="718"/>
      <c r="H15" s="718"/>
      <c r="I15" s="718"/>
      <c r="J15" s="718"/>
      <c r="K15" s="718"/>
    </row>
    <row r="16" spans="1:11" ht="18.75" customHeight="1" thickBot="1" x14ac:dyDescent="0.25">
      <c r="A16" s="275"/>
      <c r="B16" s="268">
        <v>3000</v>
      </c>
      <c r="C16" s="268"/>
      <c r="D16" s="268"/>
      <c r="E16" s="268"/>
      <c r="F16" s="712"/>
      <c r="G16" s="712"/>
      <c r="H16" s="712"/>
      <c r="I16" s="712"/>
      <c r="J16" s="712"/>
      <c r="K16" s="712"/>
    </row>
    <row r="17" spans="1:11" s="179" customFormat="1" ht="18.75" customHeight="1" thickTop="1" x14ac:dyDescent="0.25">
      <c r="A17" s="271" t="s">
        <v>113</v>
      </c>
      <c r="B17" s="199">
        <f t="shared" ref="B17:H17" si="9">SUM(B4:B16)</f>
        <v>64400</v>
      </c>
      <c r="C17" s="199">
        <f t="shared" si="9"/>
        <v>73580</v>
      </c>
      <c r="D17" s="199">
        <f t="shared" si="9"/>
        <v>71600</v>
      </c>
      <c r="E17" s="199">
        <f t="shared" si="9"/>
        <v>74724</v>
      </c>
      <c r="F17" s="729">
        <f t="shared" si="9"/>
        <v>73439.64</v>
      </c>
      <c r="G17" s="729">
        <f t="shared" ref="G17" si="10">SUM(G4:G16)</f>
        <v>73439.64</v>
      </c>
      <c r="H17" s="729">
        <f t="shared" si="9"/>
        <v>74639.64</v>
      </c>
      <c r="I17" s="729">
        <f t="shared" ref="I17:J17" si="11">SUM(I4:I16)</f>
        <v>74639.64</v>
      </c>
      <c r="J17" s="729">
        <f t="shared" si="11"/>
        <v>74639.64</v>
      </c>
      <c r="K17" s="729">
        <f>SUM(K4:K16)</f>
        <v>74639.64</v>
      </c>
    </row>
    <row r="18" spans="1:11" ht="18.75" customHeight="1" x14ac:dyDescent="0.3">
      <c r="A18" s="16"/>
      <c r="B18" s="43"/>
      <c r="C18" s="25"/>
    </row>
    <row r="19" spans="1:11" ht="18.75" customHeight="1" x14ac:dyDescent="0.2">
      <c r="A19" s="236"/>
    </row>
    <row r="20" spans="1:11" ht="18.75" customHeight="1" x14ac:dyDescent="0.2">
      <c r="A20" s="197"/>
    </row>
    <row r="21" spans="1:11" ht="18.75" customHeight="1" x14ac:dyDescent="0.2">
      <c r="A21" s="197"/>
    </row>
    <row r="22" spans="1:11" ht="18.75" customHeight="1" x14ac:dyDescent="0.2">
      <c r="A22" s="197"/>
    </row>
    <row r="23" spans="1:11" ht="18.75" customHeight="1" x14ac:dyDescent="0.2">
      <c r="A23" s="197"/>
    </row>
    <row r="24" spans="1:11" ht="18.75" customHeight="1" x14ac:dyDescent="0.2">
      <c r="A24" s="197"/>
    </row>
    <row r="25" spans="1:11" ht="18.75" customHeight="1" x14ac:dyDescent="0.2">
      <c r="A25" s="197"/>
    </row>
  </sheetData>
  <sortState ref="A5:E12">
    <sortCondition ref="A5"/>
  </sortState>
  <phoneticPr fontId="20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ColWidth="9.140625" defaultRowHeight="18.75" customHeight="1" x14ac:dyDescent="0.3"/>
  <cols>
    <col min="1" max="1" width="31" style="95" bestFit="1" customWidth="1"/>
    <col min="2" max="2" width="12.42578125" style="43" hidden="1" customWidth="1"/>
    <col min="3" max="4" width="12.42578125" style="25" hidden="1" customWidth="1"/>
    <col min="5" max="8" width="11.7109375" style="25" hidden="1" customWidth="1"/>
    <col min="9" max="16384" width="9.140625" style="25"/>
  </cols>
  <sheetData>
    <row r="1" spans="1:11" s="44" customFormat="1" ht="18.75" customHeight="1" x14ac:dyDescent="0.3">
      <c r="A1" s="213" t="s">
        <v>506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121" customFormat="1" ht="18.75" customHeight="1" x14ac:dyDescent="0.3">
      <c r="A4" s="263"/>
      <c r="B4" s="198"/>
      <c r="C4" s="198"/>
      <c r="D4" s="198"/>
      <c r="E4" s="198"/>
      <c r="F4" s="711"/>
      <c r="G4" s="711"/>
      <c r="H4" s="711"/>
      <c r="I4" s="711"/>
      <c r="J4" s="711"/>
      <c r="K4" s="711"/>
    </row>
    <row r="5" spans="1:11" s="121" customFormat="1" ht="18.75" customHeight="1" x14ac:dyDescent="0.3">
      <c r="A5" s="263"/>
      <c r="B5" s="198"/>
      <c r="C5" s="198"/>
      <c r="D5" s="198"/>
      <c r="E5" s="198"/>
      <c r="F5" s="711"/>
      <c r="G5" s="711"/>
      <c r="H5" s="711"/>
      <c r="I5" s="711"/>
      <c r="J5" s="711"/>
      <c r="K5" s="711"/>
    </row>
    <row r="6" spans="1:11" s="121" customFormat="1" ht="18.75" customHeight="1" x14ac:dyDescent="0.3">
      <c r="A6" s="263"/>
      <c r="B6" s="198"/>
      <c r="C6" s="198"/>
      <c r="D6" s="198"/>
      <c r="E6" s="198"/>
      <c r="F6" s="711"/>
      <c r="G6" s="711"/>
      <c r="H6" s="711"/>
      <c r="I6" s="711"/>
      <c r="J6" s="711"/>
      <c r="K6" s="711"/>
    </row>
    <row r="7" spans="1:11" s="121" customFormat="1" ht="18.75" hidden="1" customHeight="1" x14ac:dyDescent="0.3">
      <c r="A7" s="228" t="s">
        <v>198</v>
      </c>
      <c r="B7" s="198">
        <v>255362.5</v>
      </c>
      <c r="C7" s="198">
        <v>259032.5</v>
      </c>
      <c r="D7" s="198"/>
      <c r="E7" s="198"/>
      <c r="F7" s="711"/>
      <c r="G7" s="711"/>
      <c r="H7" s="711"/>
      <c r="I7" s="711"/>
      <c r="J7" s="711"/>
      <c r="K7" s="711"/>
    </row>
    <row r="8" spans="1:11" s="121" customFormat="1" ht="18.75" hidden="1" customHeight="1" x14ac:dyDescent="0.3">
      <c r="A8" s="228" t="s">
        <v>199</v>
      </c>
      <c r="B8" s="198">
        <v>113247.5</v>
      </c>
      <c r="C8" s="198">
        <v>111447.5</v>
      </c>
      <c r="D8" s="198"/>
      <c r="E8" s="198"/>
      <c r="F8" s="711"/>
      <c r="G8" s="711"/>
      <c r="H8" s="711"/>
      <c r="I8" s="711"/>
      <c r="J8" s="711"/>
      <c r="K8" s="711"/>
    </row>
    <row r="9" spans="1:11" s="121" customFormat="1" ht="18.75" customHeight="1" x14ac:dyDescent="0.3">
      <c r="A9" s="228" t="s">
        <v>777</v>
      </c>
      <c r="B9" s="198"/>
      <c r="C9" s="198"/>
      <c r="D9" s="198">
        <v>75600</v>
      </c>
      <c r="E9" s="198">
        <v>72800</v>
      </c>
      <c r="F9" s="711">
        <v>69050</v>
      </c>
      <c r="G9" s="711">
        <v>63450</v>
      </c>
      <c r="H9" s="711">
        <f>28925+28925</f>
        <v>57850</v>
      </c>
      <c r="I9" s="711">
        <f>26025*2</f>
        <v>52050</v>
      </c>
      <c r="J9" s="961">
        <f>21525+21525</f>
        <v>43050</v>
      </c>
      <c r="K9" s="961">
        <f>16950*2</f>
        <v>33900</v>
      </c>
    </row>
    <row r="10" spans="1:11" s="121" customFormat="1" ht="18.75" customHeight="1" x14ac:dyDescent="0.3">
      <c r="A10" s="228" t="s">
        <v>778</v>
      </c>
      <c r="B10" s="276"/>
      <c r="C10" s="198"/>
      <c r="D10" s="198">
        <v>271950</v>
      </c>
      <c r="E10" s="198">
        <f>36525+200000+36525</f>
        <v>273050</v>
      </c>
      <c r="F10" s="711">
        <v>280000</v>
      </c>
      <c r="G10" s="711">
        <v>280000</v>
      </c>
      <c r="H10" s="711">
        <v>290000</v>
      </c>
      <c r="I10" s="711">
        <v>300000</v>
      </c>
      <c r="J10" s="961">
        <v>305000</v>
      </c>
      <c r="K10" s="961">
        <v>310000</v>
      </c>
    </row>
    <row r="11" spans="1:11" s="121" customFormat="1" ht="18.75" customHeight="1" x14ac:dyDescent="0.3">
      <c r="A11" s="228"/>
      <c r="B11" s="276"/>
      <c r="C11" s="198"/>
      <c r="D11" s="198"/>
      <c r="E11" s="198"/>
      <c r="F11" s="711"/>
      <c r="G11" s="711"/>
      <c r="H11" s="711"/>
      <c r="I11" s="711"/>
      <c r="J11" s="711"/>
      <c r="K11" s="711"/>
    </row>
    <row r="12" spans="1:11" s="121" customFormat="1" ht="18.75" customHeight="1" x14ac:dyDescent="0.3">
      <c r="A12" s="228"/>
      <c r="B12" s="198"/>
      <c r="C12" s="198"/>
      <c r="D12" s="198"/>
      <c r="E12" s="198"/>
      <c r="F12" s="711"/>
      <c r="G12" s="711"/>
      <c r="H12" s="711"/>
      <c r="I12" s="711"/>
      <c r="J12" s="711"/>
      <c r="K12" s="711"/>
    </row>
    <row r="13" spans="1:11" s="44" customFormat="1" ht="18.75" customHeight="1" x14ac:dyDescent="0.3">
      <c r="A13" s="55"/>
      <c r="B13" s="265"/>
      <c r="C13" s="265"/>
      <c r="D13" s="265"/>
      <c r="E13" s="265"/>
      <c r="F13" s="722"/>
      <c r="G13" s="722"/>
      <c r="H13" s="722"/>
      <c r="I13" s="722"/>
      <c r="J13" s="722"/>
      <c r="K13" s="722"/>
    </row>
    <row r="14" spans="1:11" ht="18.75" customHeight="1" thickBot="1" x14ac:dyDescent="0.35">
      <c r="A14" s="228"/>
      <c r="B14" s="266"/>
      <c r="C14" s="266"/>
      <c r="D14" s="266"/>
      <c r="E14" s="266"/>
      <c r="F14" s="730"/>
      <c r="G14" s="730"/>
      <c r="H14" s="730"/>
      <c r="I14" s="730"/>
      <c r="J14" s="730"/>
      <c r="K14" s="730"/>
    </row>
    <row r="15" spans="1:11" s="44" customFormat="1" ht="18.75" customHeight="1" thickTop="1" x14ac:dyDescent="0.3">
      <c r="A15" s="271" t="s">
        <v>113</v>
      </c>
      <c r="B15" s="274">
        <f t="shared" ref="B15:H15" si="0">SUM(B4:B14)</f>
        <v>368610</v>
      </c>
      <c r="C15" s="274">
        <f t="shared" si="0"/>
        <v>370480</v>
      </c>
      <c r="D15" s="274">
        <f t="shared" si="0"/>
        <v>347550</v>
      </c>
      <c r="E15" s="274">
        <f t="shared" si="0"/>
        <v>345850</v>
      </c>
      <c r="F15" s="725">
        <f t="shared" si="0"/>
        <v>349050</v>
      </c>
      <c r="G15" s="725">
        <f t="shared" ref="G15" si="1">SUM(G4:G14)</f>
        <v>343450</v>
      </c>
      <c r="H15" s="725">
        <f t="shared" si="0"/>
        <v>347850</v>
      </c>
      <c r="I15" s="725">
        <f t="shared" ref="I15:J15" si="2">SUM(I4:I14)</f>
        <v>352050</v>
      </c>
      <c r="J15" s="725">
        <f t="shared" si="2"/>
        <v>348050</v>
      </c>
      <c r="K15" s="725">
        <f t="shared" ref="K15" si="3">SUM(K4:K14)</f>
        <v>343900</v>
      </c>
    </row>
    <row r="16" spans="1:11" ht="18.75" customHeight="1" x14ac:dyDescent="0.3">
      <c r="A16" s="255"/>
      <c r="B16" s="255"/>
      <c r="C16" s="255"/>
      <c r="D16" s="255"/>
    </row>
    <row r="17" spans="1:2" ht="18.75" customHeight="1" x14ac:dyDescent="0.3">
      <c r="A17" s="16" t="s">
        <v>854</v>
      </c>
      <c r="B17" s="25"/>
    </row>
    <row r="18" spans="1:2" ht="18.75" customHeight="1" x14ac:dyDescent="0.3">
      <c r="A18" s="16"/>
    </row>
    <row r="19" spans="1:2" ht="18.75" customHeight="1" x14ac:dyDescent="0.3">
      <c r="A19" s="16"/>
    </row>
    <row r="20" spans="1:2" ht="18.75" customHeight="1" x14ac:dyDescent="0.3">
      <c r="A20" s="16"/>
    </row>
    <row r="21" spans="1:2" ht="18.75" customHeight="1" x14ac:dyDescent="0.3">
      <c r="A21" s="16"/>
    </row>
  </sheetData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ColWidth="9.140625" defaultRowHeight="18.75" customHeight="1" x14ac:dyDescent="0.3"/>
  <cols>
    <col min="1" max="1" width="35.42578125" style="95" bestFit="1" customWidth="1"/>
    <col min="2" max="8" width="10.28515625" style="25" hidden="1" customWidth="1"/>
    <col min="9" max="16384" width="9.140625" style="25"/>
  </cols>
  <sheetData>
    <row r="1" spans="1:11" s="44" customFormat="1" ht="18.75" customHeight="1" x14ac:dyDescent="0.3">
      <c r="A1" s="213" t="s">
        <v>507</v>
      </c>
      <c r="B1" s="200"/>
      <c r="C1" s="187" t="s">
        <v>551</v>
      </c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263"/>
      <c r="B4" s="263"/>
      <c r="C4" s="263"/>
      <c r="D4" s="263"/>
      <c r="E4" s="263"/>
      <c r="F4" s="746"/>
      <c r="G4" s="746"/>
      <c r="H4" s="746"/>
      <c r="I4" s="746"/>
      <c r="J4" s="746"/>
      <c r="K4" s="746"/>
    </row>
    <row r="5" spans="1:11" ht="18.75" customHeight="1" x14ac:dyDescent="0.3">
      <c r="A5" s="61"/>
      <c r="B5" s="40">
        <v>2750</v>
      </c>
      <c r="C5" s="40"/>
      <c r="D5" s="40"/>
      <c r="E5" s="40"/>
      <c r="F5" s="644"/>
      <c r="G5" s="644"/>
      <c r="H5" s="644"/>
      <c r="I5" s="644"/>
      <c r="J5" s="644"/>
      <c r="K5" s="644"/>
    </row>
    <row r="6" spans="1:11" ht="18.75" customHeight="1" x14ac:dyDescent="0.3">
      <c r="A6" s="61" t="s">
        <v>552</v>
      </c>
      <c r="B6" s="40"/>
      <c r="C6" s="40">
        <v>3250</v>
      </c>
      <c r="D6" s="40">
        <f>5*50*14</f>
        <v>3500</v>
      </c>
      <c r="E6" s="40">
        <f>5*50*14</f>
        <v>3500</v>
      </c>
      <c r="F6" s="644">
        <f>5*50*16</f>
        <v>4000</v>
      </c>
      <c r="G6" s="644">
        <f>5*50*16</f>
        <v>4000</v>
      </c>
      <c r="H6" s="644">
        <f>50*16*5</f>
        <v>4000</v>
      </c>
      <c r="I6" s="644">
        <f>50*16*5</f>
        <v>4000</v>
      </c>
      <c r="J6" s="644">
        <f>50*16*5</f>
        <v>4000</v>
      </c>
      <c r="K6" s="644">
        <f>50*16*5</f>
        <v>4000</v>
      </c>
    </row>
    <row r="7" spans="1:11" ht="18.75" customHeight="1" x14ac:dyDescent="0.3">
      <c r="A7" s="448"/>
      <c r="B7" s="177"/>
      <c r="C7" s="177"/>
      <c r="D7" s="177"/>
      <c r="E7" s="177"/>
      <c r="F7" s="747"/>
      <c r="G7" s="747"/>
      <c r="H7" s="747"/>
      <c r="I7" s="747"/>
      <c r="J7" s="747"/>
      <c r="K7" s="747"/>
    </row>
    <row r="8" spans="1:11" ht="18.75" customHeight="1" x14ac:dyDescent="0.3">
      <c r="A8" s="448"/>
      <c r="B8" s="177"/>
      <c r="C8" s="177"/>
      <c r="D8" s="177"/>
      <c r="E8" s="177"/>
      <c r="F8" s="747"/>
      <c r="G8" s="747"/>
      <c r="H8" s="747"/>
      <c r="I8" s="747"/>
      <c r="J8" s="747"/>
      <c r="K8" s="747"/>
    </row>
    <row r="9" spans="1:11" ht="18.75" customHeight="1" x14ac:dyDescent="0.3">
      <c r="A9" s="452"/>
      <c r="B9" s="40"/>
      <c r="C9" s="40"/>
      <c r="D9" s="40"/>
      <c r="E9" s="40"/>
      <c r="F9" s="644"/>
      <c r="G9" s="644"/>
      <c r="H9" s="644"/>
      <c r="I9" s="644"/>
      <c r="J9" s="644"/>
      <c r="K9" s="644"/>
    </row>
    <row r="10" spans="1:11" ht="18.75" customHeight="1" thickBot="1" x14ac:dyDescent="0.35">
      <c r="A10" s="448"/>
      <c r="B10" s="453">
        <v>-500</v>
      </c>
      <c r="C10" s="453"/>
      <c r="D10" s="453"/>
      <c r="E10" s="453"/>
      <c r="F10" s="748"/>
      <c r="G10" s="748"/>
      <c r="H10" s="748"/>
      <c r="I10" s="748"/>
      <c r="J10" s="748"/>
      <c r="K10" s="748"/>
    </row>
    <row r="11" spans="1:11" s="44" customFormat="1" ht="18.75" customHeight="1" thickTop="1" x14ac:dyDescent="0.3">
      <c r="A11" s="101" t="s">
        <v>113</v>
      </c>
      <c r="B11" s="42">
        <f t="shared" ref="B11:H11" si="0">SUM(B4:B10)</f>
        <v>2250</v>
      </c>
      <c r="C11" s="42">
        <f t="shared" si="0"/>
        <v>3250</v>
      </c>
      <c r="D11" s="42">
        <f t="shared" si="0"/>
        <v>3500</v>
      </c>
      <c r="E11" s="42">
        <f t="shared" si="0"/>
        <v>3500</v>
      </c>
      <c r="F11" s="647">
        <f t="shared" si="0"/>
        <v>4000</v>
      </c>
      <c r="G11" s="647">
        <f t="shared" ref="G11" si="1">SUM(G4:G10)</f>
        <v>4000</v>
      </c>
      <c r="H11" s="647">
        <f t="shared" si="0"/>
        <v>4000</v>
      </c>
      <c r="I11" s="647">
        <f t="shared" ref="I11:J11" si="2">SUM(I4:I10)</f>
        <v>4000</v>
      </c>
      <c r="J11" s="647">
        <f t="shared" si="2"/>
        <v>4000</v>
      </c>
      <c r="K11" s="647">
        <f t="shared" ref="K11" si="3">SUM(K4:K10)</f>
        <v>4000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defaultColWidth="9.140625" defaultRowHeight="18.75" customHeight="1" x14ac:dyDescent="0.3"/>
  <cols>
    <col min="1" max="1" width="34.5703125" style="95" bestFit="1" customWidth="1"/>
    <col min="2" max="4" width="10.7109375" style="25" hidden="1" customWidth="1"/>
    <col min="5" max="8" width="10.140625" style="25" hidden="1" customWidth="1"/>
    <col min="9" max="16384" width="9.140625" style="25"/>
  </cols>
  <sheetData>
    <row r="1" spans="1:11" s="44" customFormat="1" ht="18.75" customHeight="1" x14ac:dyDescent="0.3">
      <c r="A1" s="213" t="s">
        <v>20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234"/>
      <c r="B4" s="234"/>
      <c r="C4" s="234"/>
      <c r="D4" s="234"/>
      <c r="E4" s="234"/>
      <c r="F4" s="749"/>
      <c r="G4" s="749"/>
      <c r="H4" s="749"/>
      <c r="I4" s="749"/>
      <c r="J4" s="749"/>
      <c r="K4" s="749"/>
    </row>
    <row r="5" spans="1:11" ht="18.75" customHeight="1" x14ac:dyDescent="0.3">
      <c r="A5" s="55" t="s">
        <v>436</v>
      </c>
      <c r="B5" s="189">
        <v>1765</v>
      </c>
      <c r="C5" s="189">
        <v>1550</v>
      </c>
      <c r="D5" s="189">
        <v>3000</v>
      </c>
      <c r="E5" s="189">
        <v>3000</v>
      </c>
      <c r="F5" s="685">
        <v>2500</v>
      </c>
      <c r="G5" s="685">
        <v>2500</v>
      </c>
      <c r="H5" s="685">
        <v>2500</v>
      </c>
      <c r="I5" s="685">
        <v>2500</v>
      </c>
      <c r="J5" s="685">
        <v>2500</v>
      </c>
      <c r="K5" s="685">
        <v>2500</v>
      </c>
    </row>
    <row r="6" spans="1:11" ht="18.75" hidden="1" customHeight="1" x14ac:dyDescent="0.3">
      <c r="A6" s="55" t="s">
        <v>349</v>
      </c>
      <c r="B6" s="189">
        <v>2750</v>
      </c>
      <c r="C6" s="189"/>
      <c r="D6" s="189"/>
      <c r="E6" s="189"/>
      <c r="F6" s="685"/>
      <c r="G6" s="685"/>
      <c r="H6" s="685"/>
      <c r="I6" s="685"/>
      <c r="J6" s="685"/>
      <c r="K6" s="685"/>
    </row>
    <row r="7" spans="1:11" ht="18.75" customHeight="1" x14ac:dyDescent="0.3">
      <c r="A7" s="55" t="s">
        <v>409</v>
      </c>
      <c r="B7" s="189"/>
      <c r="C7" s="189">
        <v>2000</v>
      </c>
      <c r="D7" s="189">
        <v>4000</v>
      </c>
      <c r="E7" s="189">
        <v>4000</v>
      </c>
      <c r="F7" s="686">
        <v>5000</v>
      </c>
      <c r="G7" s="685">
        <v>25000</v>
      </c>
      <c r="H7" s="685">
        <v>25000</v>
      </c>
      <c r="I7" s="685">
        <v>25000</v>
      </c>
      <c r="J7" s="685">
        <v>25000</v>
      </c>
      <c r="K7" s="685">
        <v>25000</v>
      </c>
    </row>
    <row r="8" spans="1:11" ht="18.75" customHeight="1" x14ac:dyDescent="0.3">
      <c r="A8" s="227"/>
      <c r="B8" s="189"/>
      <c r="C8" s="189"/>
      <c r="D8" s="189"/>
      <c r="E8" s="189"/>
      <c r="F8" s="685"/>
      <c r="G8" s="685"/>
      <c r="H8" s="685"/>
      <c r="I8" s="685"/>
      <c r="J8" s="685"/>
      <c r="K8" s="685"/>
    </row>
    <row r="9" spans="1:11" ht="18.75" customHeight="1" x14ac:dyDescent="0.3">
      <c r="A9" s="227"/>
      <c r="B9" s="189"/>
      <c r="C9" s="189"/>
      <c r="D9" s="189"/>
      <c r="E9" s="189"/>
      <c r="F9" s="685"/>
      <c r="G9" s="685"/>
      <c r="H9" s="685"/>
      <c r="I9" s="685"/>
      <c r="J9" s="685"/>
      <c r="K9" s="685"/>
    </row>
    <row r="10" spans="1:11" ht="18.75" customHeight="1" x14ac:dyDescent="0.3">
      <c r="A10" s="227"/>
      <c r="B10" s="189"/>
      <c r="C10" s="189"/>
      <c r="D10" s="189"/>
      <c r="E10" s="189"/>
      <c r="F10" s="685"/>
      <c r="G10" s="685"/>
      <c r="H10" s="685"/>
      <c r="I10" s="685"/>
      <c r="J10" s="685"/>
      <c r="K10" s="685"/>
    </row>
    <row r="11" spans="1:11" ht="18.75" customHeight="1" x14ac:dyDescent="0.3">
      <c r="A11" s="227"/>
      <c r="B11" s="202"/>
      <c r="C11" s="189"/>
      <c r="D11" s="189"/>
      <c r="E11" s="189"/>
      <c r="F11" s="685"/>
      <c r="G11" s="685"/>
      <c r="H11" s="685"/>
      <c r="I11" s="685"/>
      <c r="J11" s="685"/>
      <c r="K11" s="685"/>
    </row>
    <row r="12" spans="1:11" ht="18.75" customHeight="1" thickBot="1" x14ac:dyDescent="0.35">
      <c r="A12" s="227"/>
      <c r="B12" s="284">
        <f>-4305-210</f>
        <v>-4515</v>
      </c>
      <c r="C12" s="190"/>
      <c r="D12" s="190"/>
      <c r="E12" s="190"/>
      <c r="F12" s="721"/>
      <c r="G12" s="721"/>
      <c r="H12" s="721"/>
      <c r="I12" s="721"/>
      <c r="J12" s="721"/>
      <c r="K12" s="721"/>
    </row>
    <row r="13" spans="1:11" s="44" customFormat="1" ht="18.75" customHeight="1" x14ac:dyDescent="0.3">
      <c r="A13" s="277" t="s">
        <v>113</v>
      </c>
      <c r="B13" s="454">
        <f>SUM(B4:B12)</f>
        <v>0</v>
      </c>
      <c r="C13" s="454">
        <f t="shared" ref="C13:H13" si="0">SUM(C4:C12)</f>
        <v>3550</v>
      </c>
      <c r="D13" s="454">
        <f t="shared" si="0"/>
        <v>7000</v>
      </c>
      <c r="E13" s="454">
        <f t="shared" si="0"/>
        <v>7000</v>
      </c>
      <c r="F13" s="750">
        <f t="shared" ref="F13:G13" si="1">SUM(F4:F12)</f>
        <v>7500</v>
      </c>
      <c r="G13" s="750">
        <f t="shared" si="1"/>
        <v>27500</v>
      </c>
      <c r="H13" s="750">
        <f t="shared" si="0"/>
        <v>27500</v>
      </c>
      <c r="I13" s="750">
        <f t="shared" ref="I13:J13" si="2">SUM(I4:I12)</f>
        <v>27500</v>
      </c>
      <c r="J13" s="750">
        <f t="shared" si="2"/>
        <v>27500</v>
      </c>
      <c r="K13" s="750">
        <f t="shared" ref="K13" si="3">SUM(K4:K12)</f>
        <v>27500</v>
      </c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ColWidth="9.140625"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4" customFormat="1" ht="18.75" customHeight="1" x14ac:dyDescent="0.3">
      <c r="A1" s="215" t="s">
        <v>23</v>
      </c>
      <c r="B1" s="200"/>
      <c r="C1" s="187"/>
      <c r="D1" s="187"/>
      <c r="E1" s="187"/>
      <c r="F1" s="187"/>
    </row>
    <row r="2" spans="1:6" ht="18.75" customHeight="1" x14ac:dyDescent="0.2">
      <c r="A2" s="29"/>
      <c r="B2" s="21"/>
      <c r="C2" s="29"/>
      <c r="D2" s="29"/>
      <c r="E2" s="29"/>
      <c r="F2" s="29"/>
    </row>
    <row r="3" spans="1:6" s="2" customFormat="1" ht="18.75" customHeight="1" x14ac:dyDescent="0.3">
      <c r="A3" s="39" t="s">
        <v>115</v>
      </c>
      <c r="B3" s="39">
        <v>2010</v>
      </c>
      <c r="C3" s="39">
        <v>2011</v>
      </c>
      <c r="D3" s="39">
        <v>2012</v>
      </c>
      <c r="E3" s="39">
        <v>2013</v>
      </c>
      <c r="F3" s="39">
        <v>2014</v>
      </c>
    </row>
    <row r="4" spans="1:6" s="6" customFormat="1" ht="9.75" customHeight="1" x14ac:dyDescent="0.3">
      <c r="A4" s="115"/>
      <c r="B4" s="115"/>
      <c r="C4" s="115"/>
      <c r="D4" s="115"/>
      <c r="E4" s="115"/>
      <c r="F4" s="115"/>
    </row>
    <row r="5" spans="1:6" ht="18.75" customHeight="1" x14ac:dyDescent="0.2">
      <c r="A5" s="456" t="s">
        <v>22</v>
      </c>
      <c r="B5" s="189"/>
      <c r="C5" s="189"/>
      <c r="D5" s="189"/>
      <c r="E5" s="189"/>
      <c r="F5" s="189"/>
    </row>
    <row r="6" spans="1:6" ht="18.75" customHeight="1" x14ac:dyDescent="0.2">
      <c r="A6" s="228" t="s">
        <v>398</v>
      </c>
      <c r="B6" s="189">
        <v>42500</v>
      </c>
      <c r="C6" s="202"/>
      <c r="D6" s="202"/>
      <c r="E6" s="202"/>
      <c r="F6" s="202"/>
    </row>
    <row r="7" spans="1:6" ht="18.75" customHeight="1" x14ac:dyDescent="0.3">
      <c r="A7" s="53"/>
      <c r="B7" s="202"/>
      <c r="C7" s="202"/>
      <c r="D7" s="202"/>
      <c r="E7" s="202"/>
      <c r="F7" s="202"/>
    </row>
    <row r="8" spans="1:6" ht="18.75" customHeight="1" x14ac:dyDescent="0.3">
      <c r="A8" s="61" t="s">
        <v>350</v>
      </c>
      <c r="B8" s="189"/>
      <c r="C8" s="189">
        <v>50000</v>
      </c>
      <c r="D8" s="202"/>
      <c r="E8" s="202"/>
      <c r="F8" s="202"/>
    </row>
    <row r="9" spans="1:6" ht="18.75" customHeight="1" x14ac:dyDescent="0.3">
      <c r="A9" s="53"/>
      <c r="B9" s="202"/>
      <c r="C9" s="202"/>
      <c r="D9" s="202"/>
      <c r="E9" s="202"/>
      <c r="F9" s="202"/>
    </row>
    <row r="10" spans="1:6" ht="18.75" customHeight="1" x14ac:dyDescent="0.3">
      <c r="A10" s="61" t="s">
        <v>399</v>
      </c>
      <c r="B10" s="189"/>
      <c r="C10" s="189"/>
      <c r="D10" s="189">
        <v>56393.53</v>
      </c>
      <c r="E10" s="189"/>
      <c r="F10" s="189"/>
    </row>
    <row r="11" spans="1:6" ht="18.75" customHeight="1" x14ac:dyDescent="0.3">
      <c r="A11" s="61"/>
      <c r="B11" s="189"/>
      <c r="C11" s="189"/>
      <c r="D11" s="189"/>
      <c r="E11" s="189"/>
      <c r="F11" s="189"/>
    </row>
    <row r="12" spans="1:6" ht="18.75" customHeight="1" x14ac:dyDescent="0.3">
      <c r="A12" s="61"/>
      <c r="B12" s="189"/>
      <c r="C12" s="189"/>
      <c r="D12" s="189"/>
      <c r="E12" s="189"/>
      <c r="F12" s="189"/>
    </row>
    <row r="13" spans="1:6" ht="18.75" customHeight="1" x14ac:dyDescent="0.3">
      <c r="A13" s="53" t="s">
        <v>420</v>
      </c>
      <c r="B13" s="190">
        <v>6000</v>
      </c>
      <c r="C13" s="190">
        <v>4751</v>
      </c>
      <c r="D13" s="190">
        <v>-50964.53</v>
      </c>
      <c r="E13" s="190"/>
      <c r="F13" s="190"/>
    </row>
    <row r="14" spans="1:6" s="2" customFormat="1" ht="18.75" customHeight="1" x14ac:dyDescent="0.3">
      <c r="A14" s="217" t="s">
        <v>113</v>
      </c>
      <c r="B14" s="455">
        <f>SUM(B4:B13)</f>
        <v>48500</v>
      </c>
      <c r="C14" s="455">
        <f>SUM(C4:C13)</f>
        <v>54751</v>
      </c>
      <c r="D14" s="455">
        <f>SUM(D4:D13)</f>
        <v>5429</v>
      </c>
      <c r="E14" s="455">
        <f>SUM(E4:E13)</f>
        <v>0</v>
      </c>
      <c r="F14" s="455">
        <f>SUM(F4:F13)</f>
        <v>0</v>
      </c>
    </row>
    <row r="15" spans="1:6" ht="18.75" customHeight="1" x14ac:dyDescent="0.2">
      <c r="C15"/>
      <c r="D15"/>
    </row>
  </sheetData>
  <phoneticPr fontId="20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ColWidth="9.140625" defaultRowHeight="18.75" customHeight="1" x14ac:dyDescent="0.2"/>
  <cols>
    <col min="1" max="1" width="34.28515625" style="3" bestFit="1" customWidth="1"/>
    <col min="2" max="6" width="10.7109375" style="1" hidden="1" customWidth="1"/>
    <col min="7" max="8" width="11.42578125" style="1" hidden="1" customWidth="1"/>
    <col min="9" max="16384" width="9.140625" style="1"/>
  </cols>
  <sheetData>
    <row r="1" spans="1:11" s="2" customFormat="1" ht="18.75" customHeight="1" x14ac:dyDescent="0.25">
      <c r="A1" s="553" t="s">
        <v>470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8.75" customHeight="1" x14ac:dyDescent="0.25">
      <c r="A2" s="65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2" customFormat="1" ht="18.75" customHeight="1" x14ac:dyDescent="0.25">
      <c r="A3" s="27" t="s">
        <v>115</v>
      </c>
      <c r="B3" s="30">
        <v>2010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30">
        <v>2021</v>
      </c>
    </row>
    <row r="4" spans="1:11" s="6" customFormat="1" ht="18.75" customHeight="1" x14ac:dyDescent="0.3">
      <c r="A4" s="844"/>
      <c r="B4" s="99"/>
      <c r="C4" s="99"/>
      <c r="D4" s="99"/>
      <c r="E4" s="99"/>
      <c r="F4" s="680"/>
      <c r="G4" s="680"/>
      <c r="H4" s="680"/>
      <c r="I4" s="680"/>
      <c r="J4" s="680"/>
      <c r="K4" s="680"/>
    </row>
    <row r="5" spans="1:11" ht="18.75" customHeight="1" x14ac:dyDescent="0.3">
      <c r="A5" s="264" t="s">
        <v>321</v>
      </c>
      <c r="B5" s="40">
        <v>24000</v>
      </c>
      <c r="C5" s="40">
        <v>23253</v>
      </c>
      <c r="D5" s="531">
        <f>C5*1.05</f>
        <v>24415.65</v>
      </c>
      <c r="E5" s="531">
        <v>23800</v>
      </c>
      <c r="F5" s="643">
        <v>26180</v>
      </c>
      <c r="G5" s="643">
        <v>28798</v>
      </c>
      <c r="H5" s="643">
        <v>28500</v>
      </c>
      <c r="I5" s="643">
        <f>H5*1.07</f>
        <v>30495</v>
      </c>
      <c r="J5" s="643">
        <f>I5*1.07</f>
        <v>32629.65</v>
      </c>
      <c r="K5" s="643">
        <f>J5*1.07</f>
        <v>34913.7255</v>
      </c>
    </row>
    <row r="6" spans="1:11" ht="18.75" customHeight="1" x14ac:dyDescent="0.3">
      <c r="A6" s="264" t="s">
        <v>320</v>
      </c>
      <c r="B6" s="40"/>
      <c r="C6" s="40"/>
      <c r="D6" s="40"/>
      <c r="E6" s="40"/>
      <c r="F6" s="644"/>
      <c r="G6" s="643"/>
      <c r="H6" s="643"/>
      <c r="I6" s="643"/>
      <c r="J6" s="643"/>
      <c r="K6" s="643"/>
    </row>
    <row r="7" spans="1:11" ht="18.75" customHeight="1" x14ac:dyDescent="0.3">
      <c r="A7" s="66"/>
      <c r="B7" s="40"/>
      <c r="C7" s="40"/>
      <c r="D7" s="40"/>
      <c r="E7" s="40"/>
      <c r="F7" s="644"/>
      <c r="G7" s="643"/>
      <c r="H7" s="643"/>
      <c r="I7" s="643"/>
      <c r="J7" s="643"/>
      <c r="K7" s="643"/>
    </row>
    <row r="8" spans="1:11" ht="18.75" customHeight="1" x14ac:dyDescent="0.3">
      <c r="A8" s="280"/>
      <c r="B8" s="40"/>
      <c r="C8" s="40"/>
      <c r="D8" s="40"/>
      <c r="E8" s="40"/>
      <c r="F8" s="644"/>
      <c r="G8" s="643"/>
      <c r="H8" s="643"/>
      <c r="I8" s="643"/>
      <c r="J8" s="643"/>
      <c r="K8" s="643"/>
    </row>
    <row r="9" spans="1:11" ht="18.75" customHeight="1" x14ac:dyDescent="0.3">
      <c r="A9" s="66"/>
      <c r="B9" s="177"/>
      <c r="C9" s="40"/>
      <c r="D9" s="40"/>
      <c r="E9" s="40"/>
      <c r="F9" s="644"/>
      <c r="G9" s="643"/>
      <c r="H9" s="643"/>
      <c r="I9" s="643"/>
      <c r="J9" s="643"/>
      <c r="K9" s="643"/>
    </row>
    <row r="10" spans="1:11" ht="18.75" customHeight="1" thickBot="1" x14ac:dyDescent="0.35">
      <c r="A10" s="66"/>
      <c r="B10" s="286">
        <v>-5480</v>
      </c>
      <c r="C10" s="41"/>
      <c r="D10" s="41"/>
      <c r="E10" s="41"/>
      <c r="F10" s="645"/>
      <c r="G10" s="646"/>
      <c r="H10" s="646"/>
      <c r="I10" s="646"/>
      <c r="J10" s="646"/>
      <c r="K10" s="646"/>
    </row>
    <row r="11" spans="1:11" s="2" customFormat="1" ht="18.75" customHeight="1" thickTop="1" x14ac:dyDescent="0.3">
      <c r="A11" s="181" t="s">
        <v>113</v>
      </c>
      <c r="B11" s="42">
        <f t="shared" ref="B11:H11" si="0">SUM(B4:B10)</f>
        <v>18520</v>
      </c>
      <c r="C11" s="42">
        <f t="shared" si="0"/>
        <v>23253</v>
      </c>
      <c r="D11" s="42">
        <f t="shared" si="0"/>
        <v>24415.65</v>
      </c>
      <c r="E11" s="42">
        <f t="shared" si="0"/>
        <v>23800</v>
      </c>
      <c r="F11" s="647">
        <f t="shared" si="0"/>
        <v>26180</v>
      </c>
      <c r="G11" s="648">
        <f t="shared" ref="G11" si="1">SUM(G4:G10)</f>
        <v>28798</v>
      </c>
      <c r="H11" s="648">
        <f t="shared" si="0"/>
        <v>28500</v>
      </c>
      <c r="I11" s="648">
        <f t="shared" ref="I11:J11" si="2">SUM(I4:I10)</f>
        <v>30495</v>
      </c>
      <c r="J11" s="648">
        <f t="shared" si="2"/>
        <v>32629.65</v>
      </c>
      <c r="K11" s="648">
        <f t="shared" ref="K11" si="3">SUM(K4:K10)</f>
        <v>34913.7255</v>
      </c>
    </row>
    <row r="12" spans="1:11" ht="18.75" customHeight="1" x14ac:dyDescent="0.25">
      <c r="A12" s="22"/>
      <c r="B12" s="24"/>
      <c r="C12" s="24"/>
    </row>
    <row r="13" spans="1:11" ht="18.75" customHeight="1" x14ac:dyDescent="0.25">
      <c r="A13" s="257"/>
      <c r="B13" s="24"/>
      <c r="C13" s="24"/>
    </row>
    <row r="14" spans="1:11" ht="18.75" customHeight="1" x14ac:dyDescent="0.3">
      <c r="A14" s="232"/>
      <c r="B14" s="24"/>
      <c r="C14" s="24"/>
    </row>
    <row r="15" spans="1:11" ht="18.75" customHeight="1" x14ac:dyDescent="0.3">
      <c r="A15" s="232"/>
      <c r="B15" s="24"/>
      <c r="C15" s="24"/>
    </row>
    <row r="16" spans="1:11" ht="18.75" customHeight="1" x14ac:dyDescent="0.25">
      <c r="A16" s="93"/>
      <c r="B16" s="24"/>
    </row>
    <row r="17" spans="1:8" ht="18.75" customHeight="1" x14ac:dyDescent="0.25">
      <c r="A17" s="93"/>
      <c r="B17" s="24"/>
    </row>
    <row r="18" spans="1:8" ht="18.75" customHeight="1" x14ac:dyDescent="0.25">
      <c r="A18" s="93"/>
    </row>
    <row r="19" spans="1:8" ht="18.75" customHeight="1" x14ac:dyDescent="0.3">
      <c r="A19" s="16"/>
    </row>
    <row r="20" spans="1:8" ht="18.75" customHeight="1" x14ac:dyDescent="0.3">
      <c r="B20" s="25"/>
      <c r="C20" s="25"/>
      <c r="D20" s="25"/>
      <c r="E20" s="25"/>
      <c r="F20" s="25"/>
      <c r="G20" s="25"/>
      <c r="H20" s="25"/>
    </row>
    <row r="21" spans="1:8" ht="18.75" customHeight="1" x14ac:dyDescent="0.3">
      <c r="A21" s="16"/>
      <c r="B21" s="25"/>
      <c r="C21" s="25"/>
      <c r="D21" s="25"/>
      <c r="E21" s="25"/>
      <c r="F21" s="25"/>
      <c r="G21" s="25"/>
      <c r="H21" s="25"/>
    </row>
    <row r="22" spans="1:8" ht="18.75" customHeight="1" x14ac:dyDescent="0.3">
      <c r="A22" s="16"/>
      <c r="B22" s="25"/>
      <c r="C22" s="25"/>
      <c r="D22" s="25"/>
      <c r="E22" s="25"/>
      <c r="F22" s="25"/>
      <c r="G22" s="25"/>
      <c r="H22" s="25"/>
    </row>
    <row r="23" spans="1:8" ht="18.75" customHeight="1" x14ac:dyDescent="0.3">
      <c r="A23" s="16"/>
      <c r="B23" s="25"/>
      <c r="C23" s="25"/>
      <c r="D23" s="25"/>
      <c r="E23" s="25"/>
      <c r="F23" s="25"/>
      <c r="G23" s="25"/>
      <c r="H23" s="25"/>
    </row>
    <row r="24" spans="1:8" ht="18.75" customHeight="1" x14ac:dyDescent="0.3">
      <c r="A24" s="16"/>
      <c r="B24" s="25"/>
      <c r="C24" s="25"/>
      <c r="D24" s="25"/>
      <c r="E24" s="25"/>
      <c r="F24" s="25"/>
      <c r="G24" s="25"/>
      <c r="H24" s="25"/>
    </row>
    <row r="25" spans="1:8" ht="18.75" customHeight="1" x14ac:dyDescent="0.3">
      <c r="A25" s="16"/>
      <c r="B25" s="25"/>
      <c r="C25" s="25"/>
      <c r="D25" s="25"/>
      <c r="E25" s="25"/>
      <c r="F25" s="25"/>
      <c r="G25" s="25"/>
      <c r="H25" s="25"/>
    </row>
    <row r="26" spans="1:8" ht="18.75" customHeight="1" x14ac:dyDescent="0.3">
      <c r="A26" s="16"/>
      <c r="B26" s="25"/>
      <c r="C26" s="25"/>
      <c r="D26" s="25"/>
      <c r="E26" s="25"/>
      <c r="F26" s="25"/>
      <c r="G26" s="25"/>
      <c r="H26" s="25"/>
    </row>
    <row r="27" spans="1:8" ht="18.75" customHeight="1" x14ac:dyDescent="0.3">
      <c r="A27" s="16"/>
      <c r="B27" s="25"/>
      <c r="C27" s="25"/>
      <c r="D27" s="25"/>
      <c r="E27" s="25"/>
      <c r="F27" s="25"/>
      <c r="G27" s="25"/>
      <c r="H27" s="25"/>
    </row>
    <row r="28" spans="1:8" ht="18.75" customHeight="1" x14ac:dyDescent="0.3">
      <c r="A28" s="16"/>
      <c r="B28" s="25"/>
      <c r="C28" s="25"/>
      <c r="D28" s="25"/>
      <c r="E28" s="25"/>
      <c r="F28" s="25"/>
      <c r="G28" s="25"/>
      <c r="H28" s="25"/>
    </row>
    <row r="29" spans="1:8" ht="18.75" customHeight="1" x14ac:dyDescent="0.3">
      <c r="A29" s="16"/>
      <c r="B29" s="25"/>
      <c r="C29" s="25"/>
      <c r="D29" s="25"/>
      <c r="E29" s="25"/>
      <c r="F29" s="25"/>
      <c r="G29" s="25"/>
      <c r="H29" s="25"/>
    </row>
    <row r="30" spans="1:8" ht="18.75" customHeight="1" x14ac:dyDescent="0.3">
      <c r="A30" s="16"/>
      <c r="B30" s="25"/>
      <c r="C30" s="25"/>
      <c r="D30" s="25"/>
      <c r="E30" s="25"/>
      <c r="F30" s="25"/>
      <c r="G30" s="25"/>
      <c r="H30" s="25"/>
    </row>
    <row r="31" spans="1:8" ht="18.75" customHeight="1" x14ac:dyDescent="0.3">
      <c r="A31" s="16"/>
      <c r="B31" s="25"/>
      <c r="C31" s="25"/>
      <c r="D31" s="25"/>
      <c r="E31" s="25"/>
      <c r="F31" s="25"/>
      <c r="G31" s="25"/>
      <c r="H31" s="25"/>
    </row>
    <row r="32" spans="1:8" ht="18.75" customHeight="1" x14ac:dyDescent="0.3">
      <c r="A32" s="16"/>
      <c r="B32" s="25"/>
      <c r="C32" s="25"/>
      <c r="D32" s="25"/>
      <c r="E32" s="25"/>
      <c r="F32" s="25"/>
      <c r="G32" s="25"/>
      <c r="H32" s="25"/>
    </row>
    <row r="33" spans="1:8" ht="18.75" customHeight="1" x14ac:dyDescent="0.3">
      <c r="A33" s="16"/>
      <c r="B33" s="25"/>
      <c r="C33" s="25"/>
      <c r="D33" s="25"/>
      <c r="E33" s="25"/>
      <c r="F33" s="25"/>
      <c r="G33" s="25"/>
      <c r="H33" s="25"/>
    </row>
    <row r="34" spans="1:8" ht="18.75" customHeight="1" x14ac:dyDescent="0.3">
      <c r="A34" s="16"/>
      <c r="B34" s="25"/>
      <c r="C34" s="25"/>
      <c r="D34" s="25"/>
      <c r="E34" s="25"/>
      <c r="F34" s="25"/>
      <c r="G34" s="25"/>
      <c r="H34" s="25"/>
    </row>
    <row r="35" spans="1:8" ht="18.75" customHeight="1" x14ac:dyDescent="0.3">
      <c r="A35" s="95"/>
      <c r="B35" s="25"/>
      <c r="C35" s="25"/>
      <c r="D35" s="25"/>
      <c r="E35" s="25"/>
      <c r="F35" s="25"/>
      <c r="G35" s="25"/>
      <c r="H35" s="25"/>
    </row>
    <row r="36" spans="1:8" ht="18.75" customHeight="1" x14ac:dyDescent="0.3">
      <c r="A36" s="95"/>
      <c r="B36" s="25"/>
      <c r="C36" s="25"/>
      <c r="D36" s="25"/>
      <c r="E36" s="25"/>
      <c r="F36" s="25"/>
      <c r="G36" s="25"/>
      <c r="H36" s="25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ColWidth="9.140625" defaultRowHeight="18.75" customHeight="1" x14ac:dyDescent="0.3"/>
  <cols>
    <col min="1" max="1" width="29.7109375" style="95" bestFit="1" customWidth="1"/>
    <col min="2" max="2" width="11" style="43" hidden="1" customWidth="1"/>
    <col min="3" max="4" width="11" style="25" hidden="1" customWidth="1"/>
    <col min="5" max="8" width="10.28515625" style="25" hidden="1" customWidth="1"/>
    <col min="9" max="16384" width="9.140625" style="25"/>
  </cols>
  <sheetData>
    <row r="1" spans="1:11" s="44" customFormat="1" ht="18.75" customHeight="1" x14ac:dyDescent="0.3">
      <c r="A1" s="213" t="s">
        <v>311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.75" customHeight="1" x14ac:dyDescent="0.3">
      <c r="A2" s="9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4" customFormat="1" ht="18.75" customHeight="1" x14ac:dyDescent="0.3">
      <c r="A3" s="39" t="s">
        <v>115</v>
      </c>
      <c r="B3" s="97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s="44" customFormat="1" ht="18.75" customHeight="1" x14ac:dyDescent="0.3">
      <c r="A4" s="39"/>
      <c r="B4" s="126"/>
      <c r="C4" s="126"/>
      <c r="D4" s="126"/>
      <c r="E4" s="126"/>
      <c r="F4" s="687"/>
      <c r="G4" s="687"/>
      <c r="H4" s="687"/>
      <c r="I4" s="687"/>
      <c r="J4" s="687"/>
      <c r="K4" s="687"/>
    </row>
    <row r="5" spans="1:11" s="44" customFormat="1" ht="21.95" customHeight="1" x14ac:dyDescent="0.3">
      <c r="A5" s="61" t="s">
        <v>5</v>
      </c>
      <c r="B5" s="119">
        <v>200</v>
      </c>
      <c r="C5" s="119">
        <v>100</v>
      </c>
      <c r="D5" s="119">
        <v>150</v>
      </c>
      <c r="E5" s="119">
        <v>150</v>
      </c>
      <c r="F5" s="701">
        <v>200</v>
      </c>
      <c r="G5" s="701">
        <v>200</v>
      </c>
      <c r="H5" s="701">
        <v>200</v>
      </c>
      <c r="I5" s="701">
        <v>200</v>
      </c>
      <c r="J5" s="701">
        <v>200</v>
      </c>
      <c r="K5" s="701">
        <v>200</v>
      </c>
    </row>
    <row r="6" spans="1:11" s="44" customFormat="1" ht="21.95" customHeight="1" x14ac:dyDescent="0.3">
      <c r="A6" s="61" t="s">
        <v>437</v>
      </c>
      <c r="B6" s="119">
        <v>300</v>
      </c>
      <c r="C6" s="119">
        <v>150</v>
      </c>
      <c r="D6" s="119">
        <v>150</v>
      </c>
      <c r="E6" s="119">
        <v>150</v>
      </c>
      <c r="F6" s="701">
        <v>150</v>
      </c>
      <c r="G6" s="701">
        <v>0</v>
      </c>
      <c r="H6" s="701">
        <v>100</v>
      </c>
      <c r="I6" s="701">
        <v>100</v>
      </c>
      <c r="J6" s="701">
        <v>100</v>
      </c>
      <c r="K6" s="701">
        <v>100</v>
      </c>
    </row>
    <row r="7" spans="1:11" s="44" customFormat="1" ht="21.95" hidden="1" customHeight="1" x14ac:dyDescent="0.3">
      <c r="A7" s="61" t="s">
        <v>300</v>
      </c>
      <c r="B7" s="119">
        <v>1000</v>
      </c>
      <c r="C7" s="119">
        <v>200</v>
      </c>
      <c r="D7" s="119">
        <v>200</v>
      </c>
      <c r="E7" s="557"/>
      <c r="F7" s="751"/>
      <c r="G7" s="751"/>
      <c r="H7" s="751"/>
      <c r="I7" s="751"/>
      <c r="J7" s="751"/>
      <c r="K7" s="751"/>
    </row>
    <row r="8" spans="1:11" s="44" customFormat="1" ht="21.95" hidden="1" customHeight="1" x14ac:dyDescent="0.3">
      <c r="A8" s="61" t="s">
        <v>6</v>
      </c>
      <c r="B8" s="119">
        <v>125</v>
      </c>
      <c r="C8" s="119">
        <v>125</v>
      </c>
      <c r="D8" s="119">
        <v>100</v>
      </c>
      <c r="E8" s="557"/>
      <c r="F8" s="751"/>
      <c r="G8" s="751"/>
      <c r="H8" s="751"/>
      <c r="I8" s="751"/>
      <c r="J8" s="751"/>
      <c r="K8" s="751"/>
    </row>
    <row r="9" spans="1:11" s="44" customFormat="1" ht="21.95" customHeight="1" x14ac:dyDescent="0.3">
      <c r="A9" s="61" t="s">
        <v>645</v>
      </c>
      <c r="B9" s="51">
        <v>500</v>
      </c>
      <c r="C9" s="119">
        <v>300</v>
      </c>
      <c r="D9" s="119">
        <v>300</v>
      </c>
      <c r="E9" s="557">
        <v>300</v>
      </c>
      <c r="F9" s="751">
        <v>300</v>
      </c>
      <c r="G9" s="751">
        <v>300</v>
      </c>
      <c r="H9" s="751">
        <v>350</v>
      </c>
      <c r="I9" s="751">
        <v>350</v>
      </c>
      <c r="J9" s="751">
        <v>500</v>
      </c>
      <c r="K9" s="751">
        <v>650</v>
      </c>
    </row>
    <row r="10" spans="1:11" s="44" customFormat="1" ht="21.95" customHeight="1" x14ac:dyDescent="0.3">
      <c r="A10" s="61" t="s">
        <v>4</v>
      </c>
      <c r="B10" s="119">
        <v>300</v>
      </c>
      <c r="C10" s="51">
        <v>200</v>
      </c>
      <c r="D10" s="51">
        <v>0</v>
      </c>
      <c r="E10" s="103">
        <v>0</v>
      </c>
      <c r="F10" s="689">
        <v>150</v>
      </c>
      <c r="G10" s="689">
        <v>150</v>
      </c>
      <c r="H10" s="689">
        <v>150</v>
      </c>
      <c r="I10" s="689">
        <v>150</v>
      </c>
      <c r="J10" s="689">
        <v>150</v>
      </c>
      <c r="K10" s="689">
        <v>150</v>
      </c>
    </row>
    <row r="11" spans="1:11" s="44" customFormat="1" ht="21.95" customHeight="1" x14ac:dyDescent="0.3">
      <c r="A11" s="61" t="s">
        <v>3</v>
      </c>
      <c r="B11" s="119">
        <v>300</v>
      </c>
      <c r="C11" s="119">
        <v>200</v>
      </c>
      <c r="D11" s="119">
        <v>0</v>
      </c>
      <c r="E11" s="557">
        <v>0</v>
      </c>
      <c r="F11" s="751">
        <v>150</v>
      </c>
      <c r="G11" s="751">
        <v>150</v>
      </c>
      <c r="H11" s="751">
        <v>150</v>
      </c>
      <c r="I11" s="751">
        <v>150</v>
      </c>
      <c r="J11" s="751">
        <v>150</v>
      </c>
      <c r="K11" s="751">
        <v>150</v>
      </c>
    </row>
    <row r="12" spans="1:11" s="44" customFormat="1" ht="21.95" hidden="1" customHeight="1" x14ac:dyDescent="0.3">
      <c r="A12" s="61" t="s">
        <v>7</v>
      </c>
      <c r="B12" s="119">
        <v>200</v>
      </c>
      <c r="C12" s="119">
        <v>150</v>
      </c>
      <c r="D12" s="119">
        <v>100</v>
      </c>
      <c r="E12" s="557"/>
      <c r="F12" s="751"/>
      <c r="G12" s="751"/>
      <c r="H12" s="751"/>
      <c r="I12" s="751"/>
      <c r="J12" s="751"/>
      <c r="K12" s="751"/>
    </row>
    <row r="13" spans="1:11" s="44" customFormat="1" ht="21.95" hidden="1" customHeight="1" x14ac:dyDescent="0.3">
      <c r="A13" s="61" t="s">
        <v>459</v>
      </c>
      <c r="B13" s="548"/>
      <c r="C13" s="237"/>
      <c r="D13" s="237"/>
      <c r="E13" s="237"/>
      <c r="F13" s="692"/>
      <c r="G13" s="692"/>
      <c r="H13" s="692"/>
      <c r="I13" s="692"/>
      <c r="J13" s="692"/>
      <c r="K13" s="692"/>
    </row>
    <row r="14" spans="1:11" s="44" customFormat="1" ht="21.95" customHeight="1" x14ac:dyDescent="0.3">
      <c r="A14" s="61"/>
      <c r="B14" s="548"/>
      <c r="C14" s="237"/>
      <c r="D14" s="237"/>
      <c r="E14" s="237"/>
      <c r="F14" s="692"/>
      <c r="G14" s="692"/>
      <c r="H14" s="692"/>
      <c r="I14" s="692"/>
      <c r="J14" s="692"/>
      <c r="K14" s="692"/>
    </row>
    <row r="15" spans="1:11" s="44" customFormat="1" ht="21.95" customHeight="1" x14ac:dyDescent="0.3">
      <c r="A15" s="61"/>
      <c r="B15" s="548"/>
      <c r="C15" s="237"/>
      <c r="D15" s="237"/>
      <c r="E15" s="237"/>
      <c r="F15" s="692"/>
      <c r="G15" s="692"/>
      <c r="H15" s="692"/>
      <c r="I15" s="692"/>
      <c r="J15" s="692"/>
      <c r="K15" s="692"/>
    </row>
    <row r="16" spans="1:11" ht="21.95" customHeight="1" thickBot="1" x14ac:dyDescent="0.35">
      <c r="A16" s="96"/>
      <c r="B16" s="238"/>
      <c r="C16" s="239"/>
      <c r="D16" s="239"/>
      <c r="E16" s="239"/>
      <c r="F16" s="752"/>
      <c r="G16" s="752"/>
      <c r="H16" s="752"/>
      <c r="I16" s="752"/>
      <c r="J16" s="752"/>
      <c r="K16" s="752"/>
    </row>
    <row r="17" spans="1:11" ht="21.95" customHeight="1" thickTop="1" x14ac:dyDescent="0.3">
      <c r="A17" s="101" t="s">
        <v>113</v>
      </c>
      <c r="B17" s="87">
        <f t="shared" ref="B17:H17" si="0">SUM(B4:B16)</f>
        <v>2925</v>
      </c>
      <c r="C17" s="87">
        <f t="shared" si="0"/>
        <v>1425</v>
      </c>
      <c r="D17" s="87">
        <f t="shared" si="0"/>
        <v>1000</v>
      </c>
      <c r="E17" s="87">
        <f t="shared" si="0"/>
        <v>600</v>
      </c>
      <c r="F17" s="728">
        <f t="shared" si="0"/>
        <v>950</v>
      </c>
      <c r="G17" s="728">
        <f t="shared" ref="G17" si="1">SUM(G4:G16)</f>
        <v>800</v>
      </c>
      <c r="H17" s="728">
        <f t="shared" si="0"/>
        <v>950</v>
      </c>
      <c r="I17" s="728">
        <f t="shared" ref="I17:J17" si="2">SUM(I4:I16)</f>
        <v>950</v>
      </c>
      <c r="J17" s="728">
        <f t="shared" si="2"/>
        <v>1100</v>
      </c>
      <c r="K17" s="728">
        <f t="shared" ref="K17" si="3">SUM(K4:K16)</f>
        <v>1250</v>
      </c>
    </row>
    <row r="18" spans="1:11" ht="18.75" customHeight="1" x14ac:dyDescent="0.3">
      <c r="A18" s="109"/>
      <c r="B18" s="109"/>
    </row>
    <row r="19" spans="1:11" ht="18.75" customHeight="1" x14ac:dyDescent="0.3">
      <c r="A19" s="109"/>
      <c r="B19" s="109"/>
    </row>
    <row r="20" spans="1:11" ht="18.75" customHeight="1" x14ac:dyDescent="0.3">
      <c r="A20" s="109"/>
      <c r="B20" s="109"/>
    </row>
    <row r="21" spans="1:11" ht="18.75" customHeight="1" x14ac:dyDescent="0.3">
      <c r="A21" s="109"/>
      <c r="B21" s="109"/>
    </row>
    <row r="22" spans="1:11" ht="18.75" customHeight="1" x14ac:dyDescent="0.3">
      <c r="A22" s="109"/>
      <c r="B22" s="109"/>
    </row>
    <row r="23" spans="1:11" ht="18.75" customHeight="1" x14ac:dyDescent="0.3">
      <c r="A23" s="109"/>
      <c r="B23" s="109"/>
    </row>
    <row r="24" spans="1:11" ht="18.75" customHeight="1" x14ac:dyDescent="0.3">
      <c r="A24" s="109"/>
      <c r="B24" s="109"/>
    </row>
    <row r="25" spans="1:11" ht="18.75" customHeight="1" x14ac:dyDescent="0.3">
      <c r="A25" s="109"/>
      <c r="B25" s="109"/>
    </row>
    <row r="26" spans="1:11" ht="18.75" customHeight="1" x14ac:dyDescent="0.3">
      <c r="A26" s="109"/>
      <c r="B26" s="109"/>
    </row>
    <row r="27" spans="1:11" ht="18.75" customHeight="1" x14ac:dyDescent="0.3">
      <c r="A27" s="109"/>
      <c r="B27" s="109"/>
    </row>
    <row r="28" spans="1:11" ht="18.75" customHeight="1" x14ac:dyDescent="0.3">
      <c r="A28" s="109"/>
      <c r="B28" s="109"/>
    </row>
    <row r="29" spans="1:11" ht="18.75" customHeight="1" x14ac:dyDescent="0.3">
      <c r="A29" s="109"/>
      <c r="B29" s="109"/>
    </row>
    <row r="30" spans="1:11" ht="18.75" customHeight="1" x14ac:dyDescent="0.3">
      <c r="A30" s="109"/>
      <c r="B30" s="109"/>
    </row>
    <row r="31" spans="1:11" ht="18.75" customHeight="1" x14ac:dyDescent="0.3">
      <c r="A31" s="109"/>
      <c r="B31" s="109"/>
    </row>
    <row r="32" spans="1:11" ht="18.75" customHeight="1" x14ac:dyDescent="0.3">
      <c r="A32" s="109"/>
      <c r="B32" s="109"/>
    </row>
    <row r="33" spans="1:2" ht="18.75" customHeight="1" x14ac:dyDescent="0.3">
      <c r="A33" s="109"/>
      <c r="B33" s="109"/>
    </row>
  </sheetData>
  <sortState ref="A5:E13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ColWidth="9.140625" defaultRowHeight="18.75" customHeight="1" x14ac:dyDescent="0.3"/>
  <cols>
    <col min="1" max="1" width="32.5703125" style="95" bestFit="1" customWidth="1"/>
    <col min="2" max="8" width="10.7109375" style="25" hidden="1" customWidth="1"/>
    <col min="9" max="16384" width="9.140625" style="25"/>
  </cols>
  <sheetData>
    <row r="1" spans="1:11" s="44" customFormat="1" ht="18.75" customHeight="1" x14ac:dyDescent="0.3">
      <c r="A1" s="213" t="s">
        <v>508</v>
      </c>
      <c r="B1" s="200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.75" customHeight="1" x14ac:dyDescent="0.3">
      <c r="A2" s="96"/>
      <c r="B2" s="47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9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457"/>
      <c r="B4" s="242"/>
      <c r="C4" s="242"/>
      <c r="D4" s="242"/>
      <c r="E4" s="242"/>
      <c r="F4" s="680"/>
      <c r="G4" s="680"/>
      <c r="H4" s="680"/>
      <c r="I4" s="680"/>
      <c r="J4" s="680"/>
      <c r="K4" s="680"/>
    </row>
    <row r="5" spans="1:11" s="44" customFormat="1" ht="18.75" hidden="1" customHeight="1" x14ac:dyDescent="0.3">
      <c r="A5" s="61" t="s">
        <v>290</v>
      </c>
      <c r="B5" s="60">
        <v>400</v>
      </c>
      <c r="C5" s="60"/>
      <c r="D5" s="60"/>
      <c r="E5" s="60"/>
      <c r="F5" s="633"/>
      <c r="G5" s="633"/>
      <c r="H5" s="633"/>
      <c r="I5" s="633"/>
      <c r="J5" s="633"/>
      <c r="K5" s="633"/>
    </row>
    <row r="6" spans="1:11" ht="18.75" customHeight="1" x14ac:dyDescent="0.3">
      <c r="A6" s="61" t="s">
        <v>671</v>
      </c>
      <c r="B6" s="60">
        <v>400</v>
      </c>
      <c r="C6" s="60"/>
      <c r="D6" s="194">
        <v>1700</v>
      </c>
      <c r="E6" s="194">
        <v>4400</v>
      </c>
      <c r="F6" s="634">
        <v>5000</v>
      </c>
      <c r="G6" s="634">
        <f>2000*2</f>
        <v>4000</v>
      </c>
      <c r="H6" s="634">
        <f>2200*2</f>
        <v>4400</v>
      </c>
      <c r="I6" s="634">
        <f>2200*2</f>
        <v>4400</v>
      </c>
      <c r="J6" s="634">
        <f>2050+2050</f>
        <v>4100</v>
      </c>
      <c r="K6" s="634">
        <f>2050+2050</f>
        <v>4100</v>
      </c>
    </row>
    <row r="7" spans="1:11" s="44" customFormat="1" ht="18.75" customHeight="1" x14ac:dyDescent="0.3">
      <c r="A7" s="61" t="s">
        <v>171</v>
      </c>
      <c r="B7" s="40">
        <v>600</v>
      </c>
      <c r="C7" s="40">
        <v>400</v>
      </c>
      <c r="D7" s="40">
        <v>500</v>
      </c>
      <c r="E7" s="40">
        <v>500</v>
      </c>
      <c r="F7" s="644">
        <v>800</v>
      </c>
      <c r="G7" s="644">
        <v>1000</v>
      </c>
      <c r="H7" s="644">
        <v>1000</v>
      </c>
      <c r="I7" s="644">
        <v>1000</v>
      </c>
      <c r="J7" s="644">
        <v>1200</v>
      </c>
      <c r="K7" s="644">
        <v>1200</v>
      </c>
    </row>
    <row r="8" spans="1:11" ht="16.5" customHeight="1" x14ac:dyDescent="0.3">
      <c r="A8" s="61" t="s">
        <v>512</v>
      </c>
      <c r="B8" s="40">
        <v>1000</v>
      </c>
      <c r="C8" s="40">
        <v>500</v>
      </c>
      <c r="D8" s="40">
        <v>600</v>
      </c>
      <c r="E8" s="40">
        <v>600</v>
      </c>
      <c r="F8" s="644">
        <v>1000</v>
      </c>
      <c r="G8" s="644">
        <v>1500</v>
      </c>
      <c r="H8" s="644">
        <v>2100</v>
      </c>
      <c r="I8" s="644">
        <v>1800</v>
      </c>
      <c r="J8" s="644">
        <f>850+800+220+800+780</f>
        <v>3450</v>
      </c>
      <c r="K8" s="644">
        <f>850+800+220+800+780</f>
        <v>3450</v>
      </c>
    </row>
    <row r="9" spans="1:11" ht="16.5" x14ac:dyDescent="0.3">
      <c r="A9" s="61" t="s">
        <v>100</v>
      </c>
      <c r="B9" s="40"/>
      <c r="C9" s="40">
        <v>100</v>
      </c>
      <c r="D9" s="40">
        <v>100</v>
      </c>
      <c r="E9" s="40">
        <v>100</v>
      </c>
      <c r="F9" s="644">
        <v>100</v>
      </c>
      <c r="G9" s="644">
        <v>200</v>
      </c>
      <c r="H9" s="644">
        <v>200</v>
      </c>
      <c r="I9" s="644">
        <v>200</v>
      </c>
      <c r="J9" s="644">
        <v>250</v>
      </c>
      <c r="K9" s="644">
        <v>250</v>
      </c>
    </row>
    <row r="10" spans="1:11" ht="16.5" x14ac:dyDescent="0.3">
      <c r="A10" s="61" t="s">
        <v>542</v>
      </c>
      <c r="B10" s="60"/>
      <c r="C10" s="60"/>
      <c r="D10" s="60"/>
      <c r="E10" s="60"/>
      <c r="F10" s="633">
        <v>2000</v>
      </c>
      <c r="G10" s="633">
        <v>2500</v>
      </c>
      <c r="H10" s="633">
        <v>3000</v>
      </c>
      <c r="I10" s="633">
        <v>3200</v>
      </c>
      <c r="J10" s="633">
        <f>350+900+900+800+2500</f>
        <v>5450</v>
      </c>
      <c r="K10" s="633">
        <f>350+900+900+800+2500</f>
        <v>5450</v>
      </c>
    </row>
    <row r="11" spans="1:11" ht="16.5" customHeight="1" x14ac:dyDescent="0.3">
      <c r="A11" s="61" t="s">
        <v>543</v>
      </c>
      <c r="B11" s="105"/>
      <c r="C11" s="105"/>
      <c r="D11" s="105"/>
      <c r="E11" s="105"/>
      <c r="F11" s="723">
        <v>2000</v>
      </c>
      <c r="G11" s="723">
        <v>2000</v>
      </c>
      <c r="H11" s="723">
        <v>2000</v>
      </c>
      <c r="I11" s="723">
        <v>2000</v>
      </c>
      <c r="J11" s="723">
        <v>0</v>
      </c>
      <c r="K11" s="723">
        <v>0</v>
      </c>
    </row>
    <row r="12" spans="1:11" ht="16.5" hidden="1" customHeight="1" x14ac:dyDescent="0.3">
      <c r="A12" s="61" t="s">
        <v>608</v>
      </c>
      <c r="B12" s="105"/>
      <c r="C12" s="105"/>
      <c r="D12" s="105"/>
      <c r="E12" s="105"/>
      <c r="F12" s="723">
        <v>0</v>
      </c>
      <c r="G12" s="723">
        <v>0</v>
      </c>
      <c r="H12" s="723">
        <v>3000</v>
      </c>
      <c r="I12" s="723">
        <v>0</v>
      </c>
      <c r="J12" s="723">
        <v>0</v>
      </c>
      <c r="K12" s="723">
        <v>0</v>
      </c>
    </row>
    <row r="13" spans="1:11" ht="16.5" customHeight="1" x14ac:dyDescent="0.3">
      <c r="A13" s="61" t="s">
        <v>646</v>
      </c>
      <c r="B13" s="105"/>
      <c r="C13" s="105"/>
      <c r="D13" s="105"/>
      <c r="E13" s="105"/>
      <c r="F13" s="723"/>
      <c r="G13" s="723"/>
      <c r="H13" s="723">
        <v>0</v>
      </c>
      <c r="I13" s="723">
        <v>18000</v>
      </c>
      <c r="J13" s="723">
        <v>0</v>
      </c>
      <c r="K13" s="723">
        <v>0</v>
      </c>
    </row>
    <row r="14" spans="1:11" ht="16.5" customHeight="1" x14ac:dyDescent="0.3">
      <c r="A14" s="61" t="s">
        <v>709</v>
      </c>
      <c r="B14" s="105"/>
      <c r="C14" s="105"/>
      <c r="D14" s="105"/>
      <c r="E14" s="105"/>
      <c r="F14" s="723"/>
      <c r="G14" s="723"/>
      <c r="H14" s="723"/>
      <c r="I14" s="723"/>
      <c r="J14" s="723">
        <f>((175*3)+(5000*0.5)+(5000*0.18))*2</f>
        <v>7850</v>
      </c>
      <c r="K14" s="723">
        <v>8000</v>
      </c>
    </row>
    <row r="15" spans="1:11" ht="16.5" customHeight="1" x14ac:dyDescent="0.3">
      <c r="A15" s="61"/>
      <c r="B15" s="105">
        <v>-1000</v>
      </c>
      <c r="C15" s="105"/>
      <c r="D15" s="105"/>
      <c r="E15" s="105"/>
      <c r="F15" s="723"/>
      <c r="G15" s="723"/>
      <c r="H15" s="723"/>
      <c r="I15" s="723"/>
      <c r="J15" s="723"/>
      <c r="K15" s="723"/>
    </row>
    <row r="16" spans="1:11" ht="18.75" customHeight="1" x14ac:dyDescent="0.3">
      <c r="A16" s="217" t="s">
        <v>113</v>
      </c>
      <c r="B16" s="458">
        <f t="shared" ref="B16:H16" si="0">SUM(B5:B15)</f>
        <v>1400</v>
      </c>
      <c r="C16" s="458">
        <f t="shared" si="0"/>
        <v>1000</v>
      </c>
      <c r="D16" s="458">
        <f t="shared" si="0"/>
        <v>2900</v>
      </c>
      <c r="E16" s="458">
        <f t="shared" si="0"/>
        <v>5600</v>
      </c>
      <c r="F16" s="753">
        <f t="shared" si="0"/>
        <v>10900</v>
      </c>
      <c r="G16" s="753">
        <f t="shared" ref="G16" si="1">SUM(G5:G15)</f>
        <v>11200</v>
      </c>
      <c r="H16" s="753">
        <f t="shared" si="0"/>
        <v>15700</v>
      </c>
      <c r="I16" s="753">
        <f t="shared" ref="I16:J16" si="2">SUM(I5:I15)</f>
        <v>30600</v>
      </c>
      <c r="J16" s="753">
        <f t="shared" si="2"/>
        <v>22300</v>
      </c>
      <c r="K16" s="753">
        <f t="shared" ref="K16" si="3">SUM(K5:K15)</f>
        <v>22450</v>
      </c>
    </row>
    <row r="17" spans="1:4" ht="18.75" customHeight="1" x14ac:dyDescent="0.3">
      <c r="A17" s="25"/>
      <c r="B17" s="109"/>
      <c r="C17" s="109"/>
      <c r="D17" s="109"/>
    </row>
    <row r="18" spans="1:4" ht="18.75" customHeight="1" x14ac:dyDescent="0.3">
      <c r="A18" s="25"/>
      <c r="B18" s="109"/>
    </row>
    <row r="19" spans="1:4" ht="18.75" customHeight="1" x14ac:dyDescent="0.3">
      <c r="A19" s="25"/>
      <c r="B19" s="109"/>
    </row>
    <row r="20" spans="1:4" ht="18.75" customHeight="1" x14ac:dyDescent="0.3">
      <c r="A20" s="109"/>
    </row>
    <row r="21" spans="1:4" ht="18.75" customHeight="1" x14ac:dyDescent="0.3">
      <c r="A21" s="109"/>
    </row>
    <row r="22" spans="1:4" ht="18.75" customHeight="1" x14ac:dyDescent="0.3">
      <c r="A22" s="109"/>
    </row>
    <row r="23" spans="1:4" ht="18.75" customHeight="1" x14ac:dyDescent="0.3">
      <c r="A23" s="109"/>
    </row>
    <row r="24" spans="1:4" ht="18.75" customHeight="1" x14ac:dyDescent="0.3">
      <c r="A24" s="109"/>
    </row>
    <row r="25" spans="1:4" ht="18.75" customHeight="1" x14ac:dyDescent="0.3">
      <c r="A25" s="109"/>
    </row>
    <row r="26" spans="1:4" ht="18.75" customHeight="1" x14ac:dyDescent="0.3">
      <c r="A26" s="109"/>
    </row>
    <row r="27" spans="1:4" ht="18.75" customHeight="1" x14ac:dyDescent="0.3">
      <c r="A27" s="109"/>
    </row>
    <row r="28" spans="1:4" ht="18.75" customHeight="1" x14ac:dyDescent="0.3">
      <c r="A28" s="109"/>
    </row>
    <row r="29" spans="1:4" ht="18.75" customHeight="1" x14ac:dyDescent="0.3">
      <c r="A29" s="109"/>
    </row>
    <row r="30" spans="1:4" ht="18.75" customHeight="1" x14ac:dyDescent="0.3">
      <c r="A30" s="109"/>
    </row>
    <row r="31" spans="1:4" ht="18.75" customHeight="1" x14ac:dyDescent="0.3">
      <c r="A31" s="109"/>
    </row>
    <row r="32" spans="1:4" ht="18.75" customHeight="1" x14ac:dyDescent="0.3">
      <c r="A32" s="109"/>
    </row>
  </sheetData>
  <sortState ref="A5:E10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8.75" customHeight="1" x14ac:dyDescent="0.25"/>
  <cols>
    <col min="1" max="1" width="35.85546875" style="58" bestFit="1" customWidth="1"/>
    <col min="2" max="3" width="9.28515625" style="24" hidden="1" customWidth="1"/>
    <col min="4" max="4" width="0" style="24" hidden="1" customWidth="1"/>
    <col min="5" max="5" width="8.85546875" style="24" hidden="1" customWidth="1"/>
    <col min="6" max="7" width="9.5703125" style="24" hidden="1" customWidth="1"/>
    <col min="8" max="8" width="9.28515625" style="24" hidden="1" customWidth="1"/>
    <col min="9" max="9" width="11.28515625" style="24" bestFit="1" customWidth="1"/>
    <col min="10" max="11" width="11" style="24" bestFit="1" customWidth="1"/>
    <col min="12" max="16384" width="9.140625" style="24"/>
  </cols>
  <sheetData>
    <row r="1" spans="1:12" s="91" customFormat="1" ht="18.75" customHeight="1" x14ac:dyDescent="0.25">
      <c r="A1" s="552" t="s">
        <v>182</v>
      </c>
      <c r="B1" s="206"/>
      <c r="C1" s="206"/>
      <c r="D1" s="89"/>
      <c r="E1" s="528"/>
      <c r="F1" s="528"/>
      <c r="G1" s="206"/>
      <c r="H1" s="206"/>
      <c r="I1" s="206"/>
      <c r="J1" s="206"/>
      <c r="K1" s="206"/>
      <c r="L1" s="207"/>
    </row>
    <row r="2" spans="1:12" ht="18.75" customHeight="1" x14ac:dyDescent="0.3">
      <c r="A2" s="124"/>
      <c r="B2" s="65"/>
      <c r="C2" s="65"/>
      <c r="D2" s="49"/>
      <c r="E2" s="529"/>
      <c r="F2" s="529"/>
      <c r="G2" s="65"/>
      <c r="H2" s="65"/>
      <c r="I2" s="65"/>
      <c r="J2" s="65"/>
      <c r="K2" s="65"/>
      <c r="L2" s="208"/>
    </row>
    <row r="3" spans="1:12" s="91" customFormat="1" ht="18.75" customHeight="1" x14ac:dyDescent="0.3">
      <c r="A3" s="35" t="s">
        <v>115</v>
      </c>
      <c r="B3" s="30">
        <v>2010</v>
      </c>
      <c r="C3" s="30">
        <v>2013</v>
      </c>
      <c r="D3" s="530">
        <v>2014</v>
      </c>
      <c r="E3" s="530">
        <v>2015</v>
      </c>
      <c r="F3" s="530">
        <v>2016</v>
      </c>
      <c r="G3" s="530">
        <v>2017</v>
      </c>
      <c r="H3" s="924">
        <v>2018</v>
      </c>
      <c r="I3" s="950">
        <v>2019</v>
      </c>
      <c r="J3" s="982">
        <v>2020</v>
      </c>
      <c r="K3" s="1042">
        <v>2021</v>
      </c>
      <c r="L3" s="1043"/>
    </row>
    <row r="4" spans="1:12" s="91" customFormat="1" ht="16.5" x14ac:dyDescent="0.3">
      <c r="A4" s="129"/>
      <c r="B4" s="49"/>
      <c r="C4" s="49"/>
      <c r="D4" s="529"/>
      <c r="E4" s="529"/>
      <c r="F4" s="529"/>
      <c r="G4" s="65"/>
      <c r="H4" s="65"/>
      <c r="I4" s="65"/>
      <c r="J4" s="65"/>
      <c r="K4" s="65"/>
      <c r="L4" s="208"/>
    </row>
    <row r="5" spans="1:12" s="91" customFormat="1" ht="37.5" x14ac:dyDescent="0.45">
      <c r="A5" s="35"/>
      <c r="B5" s="650" t="s">
        <v>312</v>
      </c>
      <c r="C5" s="650" t="s">
        <v>312</v>
      </c>
      <c r="D5" s="651" t="s">
        <v>312</v>
      </c>
      <c r="E5" s="651" t="s">
        <v>312</v>
      </c>
      <c r="F5" s="651" t="s">
        <v>312</v>
      </c>
      <c r="G5" s="651" t="s">
        <v>312</v>
      </c>
      <c r="H5" s="651" t="s">
        <v>312</v>
      </c>
      <c r="I5" s="651" t="s">
        <v>312</v>
      </c>
      <c r="J5" s="651" t="s">
        <v>312</v>
      </c>
      <c r="K5" s="652" t="s">
        <v>189</v>
      </c>
      <c r="L5" s="653" t="s">
        <v>190</v>
      </c>
    </row>
    <row r="6" spans="1:12" s="91" customFormat="1" ht="18.75" customHeight="1" x14ac:dyDescent="0.3">
      <c r="A6" s="36"/>
      <c r="B6" s="40"/>
      <c r="C6" s="40"/>
      <c r="D6" s="654"/>
      <c r="E6" s="654"/>
      <c r="F6" s="655"/>
      <c r="G6" s="656"/>
      <c r="H6" s="656"/>
      <c r="I6" s="656"/>
      <c r="J6" s="656"/>
      <c r="K6" s="656"/>
      <c r="L6" s="657"/>
    </row>
    <row r="7" spans="1:12" s="91" customFormat="1" ht="18.75" customHeight="1" x14ac:dyDescent="0.3">
      <c r="A7" s="37"/>
      <c r="B7" s="40"/>
      <c r="C7" s="40"/>
      <c r="D7" s="654"/>
      <c r="E7" s="654"/>
      <c r="F7" s="655"/>
      <c r="G7" s="656"/>
      <c r="H7" s="656"/>
      <c r="I7" s="656"/>
      <c r="J7" s="656"/>
      <c r="K7" s="656"/>
      <c r="L7" s="657"/>
    </row>
    <row r="8" spans="1:12" s="91" customFormat="1" ht="18.75" hidden="1" customHeight="1" x14ac:dyDescent="0.3">
      <c r="A8" s="36" t="s">
        <v>68</v>
      </c>
      <c r="B8" s="40">
        <v>90983.05</v>
      </c>
      <c r="C8" s="654">
        <f>75858.38+15124.67</f>
        <v>90983.05</v>
      </c>
      <c r="D8" s="654">
        <v>90982</v>
      </c>
      <c r="E8" s="654">
        <v>90982</v>
      </c>
      <c r="F8" s="655">
        <f>86940+4043</f>
        <v>90983</v>
      </c>
      <c r="G8" s="658"/>
      <c r="H8" s="658"/>
      <c r="I8" s="658"/>
      <c r="J8" s="658"/>
      <c r="K8" s="658"/>
      <c r="L8" s="659"/>
    </row>
    <row r="9" spans="1:12" s="91" customFormat="1" ht="18.75" hidden="1" customHeight="1" x14ac:dyDescent="0.3">
      <c r="A9" s="67" t="s">
        <v>266</v>
      </c>
      <c r="B9" s="60">
        <v>40462.18</v>
      </c>
      <c r="C9" s="660">
        <f>24672.6+15244.87</f>
        <v>39917.47</v>
      </c>
      <c r="D9" s="60">
        <v>39917</v>
      </c>
      <c r="E9" s="60">
        <f>26307+13610</f>
        <v>39917</v>
      </c>
      <c r="F9" s="661">
        <f>27130+12787</f>
        <v>39917</v>
      </c>
      <c r="G9" s="662"/>
      <c r="H9" s="662"/>
      <c r="I9" s="662"/>
      <c r="J9" s="662"/>
      <c r="K9" s="662"/>
      <c r="L9" s="663"/>
    </row>
    <row r="10" spans="1:12" ht="18.75" hidden="1" customHeight="1" x14ac:dyDescent="0.3">
      <c r="A10" s="36" t="s">
        <v>513</v>
      </c>
      <c r="B10" s="60"/>
      <c r="C10" s="660">
        <f>3979.9+340.1</f>
        <v>4320</v>
      </c>
      <c r="D10" s="660">
        <v>2521</v>
      </c>
      <c r="E10" s="1046" t="s">
        <v>450</v>
      </c>
      <c r="F10" s="664"/>
      <c r="G10" s="664"/>
      <c r="H10" s="927" t="s">
        <v>450</v>
      </c>
      <c r="I10" s="951" t="s">
        <v>450</v>
      </c>
      <c r="J10" s="983" t="s">
        <v>450</v>
      </c>
      <c r="K10" s="1044" t="s">
        <v>450</v>
      </c>
      <c r="L10" s="1045"/>
    </row>
    <row r="11" spans="1:12" ht="18.75" hidden="1" customHeight="1" x14ac:dyDescent="0.3">
      <c r="A11" s="36"/>
      <c r="B11" s="60"/>
      <c r="C11" s="660"/>
      <c r="D11" s="60"/>
      <c r="E11" s="1047"/>
      <c r="F11" s="665"/>
      <c r="G11" s="666"/>
      <c r="H11" s="666"/>
      <c r="I11" s="666"/>
      <c r="J11" s="666"/>
      <c r="K11" s="666"/>
      <c r="L11" s="667"/>
    </row>
    <row r="12" spans="1:12" ht="18.75" customHeight="1" x14ac:dyDescent="0.3">
      <c r="A12" s="36" t="s">
        <v>779</v>
      </c>
      <c r="B12" s="60"/>
      <c r="C12" s="660"/>
      <c r="D12" s="668">
        <f>(110000*2)+70000</f>
        <v>290000</v>
      </c>
      <c r="E12" s="668"/>
      <c r="F12" s="669">
        <v>775000</v>
      </c>
      <c r="G12" s="666">
        <v>695000</v>
      </c>
      <c r="H12" s="666">
        <v>0</v>
      </c>
      <c r="I12" s="666">
        <v>0</v>
      </c>
      <c r="J12" s="666">
        <f>120000</f>
        <v>120000</v>
      </c>
      <c r="K12" s="666">
        <f>1423026</f>
        <v>1423026</v>
      </c>
      <c r="L12" s="667">
        <v>0</v>
      </c>
    </row>
    <row r="13" spans="1:12" ht="18.75" customHeight="1" thickBot="1" x14ac:dyDescent="0.35">
      <c r="A13" s="670"/>
      <c r="B13" s="671">
        <v>1800</v>
      </c>
      <c r="C13" s="672"/>
      <c r="D13" s="672"/>
      <c r="E13" s="672"/>
      <c r="F13" s="673"/>
      <c r="G13" s="674"/>
      <c r="H13" s="674"/>
      <c r="I13" s="674"/>
      <c r="J13" s="674"/>
      <c r="K13" s="674"/>
      <c r="L13" s="675"/>
    </row>
    <row r="14" spans="1:12" s="91" customFormat="1" ht="17.25" thickTop="1" x14ac:dyDescent="0.3">
      <c r="A14" s="86" t="s">
        <v>113</v>
      </c>
      <c r="B14" s="87">
        <f t="shared" ref="B14" si="0">SUM(B6:B13)</f>
        <v>133245.23000000001</v>
      </c>
      <c r="C14" s="87">
        <f>SUM(C6:C13)</f>
        <v>135220.52000000002</v>
      </c>
      <c r="D14" s="87">
        <f>SUM(D6:D13)</f>
        <v>423420</v>
      </c>
      <c r="E14" s="676">
        <f>SUM(E6:E13)</f>
        <v>130899</v>
      </c>
      <c r="F14" s="677">
        <f>SUM(F8:F12)</f>
        <v>905900</v>
      </c>
      <c r="G14" s="678">
        <f t="shared" ref="G14:L14" si="1">SUM(G6:G13)</f>
        <v>695000</v>
      </c>
      <c r="H14" s="678">
        <f t="shared" si="1"/>
        <v>0</v>
      </c>
      <c r="I14" s="678">
        <f t="shared" si="1"/>
        <v>0</v>
      </c>
      <c r="J14" s="678">
        <f t="shared" si="1"/>
        <v>120000</v>
      </c>
      <c r="K14" s="678">
        <f t="shared" si="1"/>
        <v>1423026</v>
      </c>
      <c r="L14" s="679">
        <f t="shared" si="1"/>
        <v>0</v>
      </c>
    </row>
    <row r="15" spans="1:12" ht="32.25" customHeight="1" x14ac:dyDescent="0.3">
      <c r="A15" s="95"/>
      <c r="F15" s="649"/>
      <c r="G15" s="649"/>
      <c r="H15" s="925"/>
      <c r="I15" s="952"/>
      <c r="J15" s="987"/>
      <c r="K15" s="1040" t="s">
        <v>366</v>
      </c>
      <c r="L15" s="1040"/>
    </row>
    <row r="16" spans="1:12" ht="18.75" customHeight="1" x14ac:dyDescent="0.25">
      <c r="F16" s="649"/>
      <c r="G16" s="649"/>
      <c r="H16" s="926"/>
      <c r="I16" s="953"/>
      <c r="K16" s="1041">
        <f>K14+L14</f>
        <v>1423026</v>
      </c>
      <c r="L16" s="1041"/>
    </row>
    <row r="17" spans="1:1" ht="18.75" hidden="1" customHeight="1" x14ac:dyDescent="0.25">
      <c r="A17" s="88" t="s">
        <v>585</v>
      </c>
    </row>
    <row r="18" spans="1:1" ht="18.75" hidden="1" customHeight="1" x14ac:dyDescent="0.25">
      <c r="A18" s="88" t="s">
        <v>586</v>
      </c>
    </row>
    <row r="19" spans="1:1" ht="18.75" hidden="1" customHeight="1" x14ac:dyDescent="0.25">
      <c r="A19" s="93" t="s">
        <v>553</v>
      </c>
    </row>
    <row r="20" spans="1:1" ht="18.75" customHeight="1" x14ac:dyDescent="0.25">
      <c r="A20" s="93"/>
    </row>
    <row r="21" spans="1:1" ht="18.75" customHeight="1" x14ac:dyDescent="0.25">
      <c r="A21" s="93"/>
    </row>
  </sheetData>
  <sortState ref="A14:H15">
    <sortCondition descending="1" ref="A14:A15"/>
  </sortState>
  <mergeCells count="5">
    <mergeCell ref="K15:L15"/>
    <mergeCell ref="K16:L16"/>
    <mergeCell ref="K3:L3"/>
    <mergeCell ref="K10:L10"/>
    <mergeCell ref="E10:E11"/>
  </mergeCells>
  <phoneticPr fontId="20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22" style="95" bestFit="1" customWidth="1"/>
    <col min="2" max="8" width="12.28515625" style="25" hidden="1" customWidth="1"/>
    <col min="9" max="16384" width="9.140625" style="25"/>
  </cols>
  <sheetData>
    <row r="1" spans="1:10" s="44" customFormat="1" ht="18" customHeight="1" x14ac:dyDescent="0.3">
      <c r="A1" s="551" t="s">
        <v>477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8" customHeight="1" x14ac:dyDescent="0.3">
      <c r="A2" s="124"/>
      <c r="B2" s="96"/>
      <c r="C2" s="96"/>
      <c r="D2" s="96"/>
      <c r="E2" s="96"/>
      <c r="F2" s="96"/>
      <c r="G2" s="96"/>
      <c r="H2" s="96"/>
      <c r="I2" s="96"/>
      <c r="J2" s="96"/>
    </row>
    <row r="3" spans="1:10" s="44" customFormat="1" ht="18" customHeight="1" x14ac:dyDescent="0.3">
      <c r="A3" s="35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</row>
    <row r="4" spans="1:10" s="121" customFormat="1" ht="18" customHeight="1" x14ac:dyDescent="0.3">
      <c r="A4" s="129"/>
      <c r="B4" s="99"/>
      <c r="C4" s="99"/>
      <c r="D4" s="99"/>
      <c r="E4" s="99"/>
      <c r="F4" s="680"/>
      <c r="G4" s="680"/>
      <c r="H4" s="680"/>
      <c r="I4" s="680"/>
      <c r="J4" s="680"/>
    </row>
    <row r="5" spans="1:10" s="44" customFormat="1" ht="18" customHeight="1" x14ac:dyDescent="0.3">
      <c r="A5" s="35"/>
      <c r="B5" s="39"/>
      <c r="C5" s="39"/>
      <c r="D5" s="39"/>
      <c r="E5" s="39"/>
      <c r="F5" s="681"/>
      <c r="G5" s="681"/>
      <c r="H5" s="681"/>
      <c r="I5" s="681"/>
      <c r="J5" s="681"/>
    </row>
    <row r="6" spans="1:10" ht="18" customHeight="1" x14ac:dyDescent="0.3">
      <c r="A6" s="37" t="s">
        <v>200</v>
      </c>
      <c r="B6" s="40">
        <v>4500</v>
      </c>
      <c r="C6" s="40">
        <v>3200</v>
      </c>
      <c r="D6" s="40">
        <v>3200</v>
      </c>
      <c r="E6" s="40">
        <f>100*12</f>
        <v>1200</v>
      </c>
      <c r="F6" s="644">
        <f>105*12</f>
        <v>1260</v>
      </c>
      <c r="G6" s="644">
        <f>105*12</f>
        <v>1260</v>
      </c>
      <c r="H6" s="644">
        <f>10*12*9</f>
        <v>1080</v>
      </c>
      <c r="I6" s="644">
        <f>(12*1*8.5)+(12*3*4)</f>
        <v>246</v>
      </c>
      <c r="J6" s="644">
        <v>0</v>
      </c>
    </row>
    <row r="7" spans="1:10" ht="18" customHeight="1" x14ac:dyDescent="0.3">
      <c r="A7" s="874" t="s">
        <v>588</v>
      </c>
      <c r="B7" s="40"/>
      <c r="C7" s="40"/>
      <c r="D7" s="40"/>
      <c r="E7" s="40"/>
      <c r="F7" s="644"/>
      <c r="G7" s="643"/>
      <c r="H7" s="643">
        <f>13*50</f>
        <v>650</v>
      </c>
      <c r="I7" s="643">
        <f>50*12</f>
        <v>600</v>
      </c>
      <c r="J7" s="643">
        <v>0</v>
      </c>
    </row>
    <row r="8" spans="1:10" ht="18" customHeight="1" x14ac:dyDescent="0.3">
      <c r="A8" s="435"/>
      <c r="B8" s="393"/>
      <c r="C8" s="393"/>
      <c r="D8" s="393"/>
      <c r="E8" s="393"/>
      <c r="F8" s="682"/>
      <c r="G8" s="683"/>
      <c r="H8" s="683"/>
      <c r="I8" s="683"/>
      <c r="J8" s="683"/>
    </row>
    <row r="9" spans="1:10" ht="18" customHeight="1" x14ac:dyDescent="0.3">
      <c r="A9" s="435"/>
      <c r="B9" s="393"/>
      <c r="C9" s="393"/>
      <c r="D9" s="393"/>
      <c r="E9" s="393"/>
      <c r="F9" s="682"/>
      <c r="G9" s="683"/>
      <c r="H9" s="683"/>
      <c r="I9" s="683"/>
      <c r="J9" s="683"/>
    </row>
    <row r="10" spans="1:10" ht="18" customHeight="1" thickBot="1" x14ac:dyDescent="0.35">
      <c r="A10" s="435"/>
      <c r="B10" s="393">
        <v>-556.55999999999995</v>
      </c>
      <c r="C10" s="393"/>
      <c r="D10" s="393"/>
      <c r="E10" s="393"/>
      <c r="F10" s="682"/>
      <c r="G10" s="683"/>
      <c r="H10" s="683"/>
      <c r="I10" s="683"/>
      <c r="J10" s="683"/>
    </row>
    <row r="11" spans="1:10" ht="18" customHeight="1" thickTop="1" x14ac:dyDescent="0.3">
      <c r="A11" s="86" t="s">
        <v>113</v>
      </c>
      <c r="B11" s="42">
        <f>SUM(B4:B10)</f>
        <v>3943.44</v>
      </c>
      <c r="C11" s="42">
        <f t="shared" ref="C11:E11" si="0">SUM(C4:C10)</f>
        <v>3200</v>
      </c>
      <c r="D11" s="42">
        <f t="shared" si="0"/>
        <v>3200</v>
      </c>
      <c r="E11" s="42">
        <f t="shared" si="0"/>
        <v>1200</v>
      </c>
      <c r="F11" s="647">
        <f t="shared" ref="F11:H11" si="1">SUM(F4:F10)</f>
        <v>1260</v>
      </c>
      <c r="G11" s="648">
        <f t="shared" ref="G11" si="2">SUM(G4:G10)</f>
        <v>1260</v>
      </c>
      <c r="H11" s="648">
        <f t="shared" si="1"/>
        <v>1730</v>
      </c>
      <c r="I11" s="648">
        <f t="shared" ref="I11:J11" si="3">SUM(I4:I10)</f>
        <v>846</v>
      </c>
      <c r="J11" s="648">
        <f t="shared" si="3"/>
        <v>0</v>
      </c>
    </row>
    <row r="12" spans="1:10" ht="18.75" customHeight="1" x14ac:dyDescent="0.3">
      <c r="B12" s="127"/>
    </row>
    <row r="13" spans="1:10" ht="18.75" customHeight="1" x14ac:dyDescent="0.3">
      <c r="A13" s="16" t="s">
        <v>783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5.5703125" style="95" bestFit="1" customWidth="1"/>
    <col min="2" max="8" width="12.28515625" style="25" hidden="1" customWidth="1"/>
    <col min="9" max="11" width="9.5703125" style="25" bestFit="1" customWidth="1"/>
    <col min="12" max="16384" width="9.140625" style="25"/>
  </cols>
  <sheetData>
    <row r="1" spans="1:11" s="44" customFormat="1" ht="18.75" customHeight="1" x14ac:dyDescent="0.3">
      <c r="A1" s="551" t="s">
        <v>476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1.25" customHeight="1" x14ac:dyDescent="0.3">
      <c r="A2" s="124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44" customFormat="1" ht="18.75" customHeight="1" x14ac:dyDescent="0.3">
      <c r="A3" s="35" t="s">
        <v>115</v>
      </c>
      <c r="B3" s="39">
        <v>2010</v>
      </c>
      <c r="C3" s="39">
        <v>2013</v>
      </c>
      <c r="D3" s="39">
        <v>2014</v>
      </c>
      <c r="E3" s="39">
        <v>2015</v>
      </c>
      <c r="F3" s="39">
        <v>2016</v>
      </c>
      <c r="G3" s="39">
        <v>2017</v>
      </c>
      <c r="H3" s="39">
        <v>2018</v>
      </c>
      <c r="I3" s="39">
        <v>2019</v>
      </c>
      <c r="J3" s="39">
        <v>2020</v>
      </c>
      <c r="K3" s="39">
        <v>2021</v>
      </c>
    </row>
    <row r="4" spans="1:11" s="121" customFormat="1" ht="18.75" customHeight="1" x14ac:dyDescent="0.3">
      <c r="A4" s="205"/>
      <c r="B4" s="115"/>
      <c r="C4" s="115"/>
      <c r="D4" s="115"/>
      <c r="E4" s="115"/>
      <c r="F4" s="684"/>
      <c r="G4" s="684"/>
      <c r="H4" s="684"/>
      <c r="I4" s="684"/>
      <c r="J4" s="684"/>
      <c r="K4" s="684"/>
    </row>
    <row r="5" spans="1:11" s="121" customFormat="1" ht="16.5" x14ac:dyDescent="0.3">
      <c r="A5" s="37" t="s">
        <v>71</v>
      </c>
      <c r="B5" s="40">
        <v>1000</v>
      </c>
      <c r="C5" s="40">
        <v>1500</v>
      </c>
      <c r="D5" s="40">
        <v>1500</v>
      </c>
      <c r="E5" s="40">
        <v>2000</v>
      </c>
      <c r="F5" s="644">
        <v>2000</v>
      </c>
      <c r="G5" s="644">
        <v>3000</v>
      </c>
      <c r="H5" s="644">
        <v>3000</v>
      </c>
      <c r="I5" s="644">
        <v>3000</v>
      </c>
      <c r="J5" s="644">
        <v>3000</v>
      </c>
      <c r="K5" s="644">
        <v>3000</v>
      </c>
    </row>
    <row r="6" spans="1:11" s="121" customFormat="1" ht="19.5" customHeight="1" x14ac:dyDescent="0.3">
      <c r="A6" s="842" t="s">
        <v>706</v>
      </c>
      <c r="B6" s="40">
        <v>13400</v>
      </c>
      <c r="C6" s="40">
        <v>13672.8</v>
      </c>
      <c r="D6" s="40">
        <f>45*25.32*12</f>
        <v>13672.800000000001</v>
      </c>
      <c r="E6" s="40">
        <f>47*25.32*12</f>
        <v>14280.48</v>
      </c>
      <c r="F6" s="643">
        <f>55*25.32*12</f>
        <v>16711.199999999997</v>
      </c>
      <c r="G6" s="643">
        <f>75*23.37*12</f>
        <v>21033</v>
      </c>
      <c r="H6" s="643">
        <f>28.08*85*12</f>
        <v>28641.599999999999</v>
      </c>
      <c r="I6" s="643">
        <f>25.51*90*12</f>
        <v>27550.800000000003</v>
      </c>
      <c r="J6" s="643">
        <f>29.61*90*12</f>
        <v>31978.800000000003</v>
      </c>
      <c r="K6" s="643">
        <f>29.61*90*12</f>
        <v>31978.800000000003</v>
      </c>
    </row>
    <row r="7" spans="1:11" s="121" customFormat="1" ht="18.75" customHeight="1" x14ac:dyDescent="0.3">
      <c r="A7" s="37" t="s">
        <v>72</v>
      </c>
      <c r="B7" s="40">
        <v>10500</v>
      </c>
      <c r="C7" s="40">
        <v>13200</v>
      </c>
      <c r="D7" s="40">
        <f>24*600</f>
        <v>14400</v>
      </c>
      <c r="E7" s="40">
        <f>24*700</f>
        <v>16800</v>
      </c>
      <c r="F7" s="643">
        <f>24*700</f>
        <v>16800</v>
      </c>
      <c r="G7" s="643">
        <f>26.4*750</f>
        <v>19800</v>
      </c>
      <c r="H7" s="643">
        <f t="shared" ref="H7:I8" si="0">26.4*775</f>
        <v>20460</v>
      </c>
      <c r="I7" s="643">
        <f t="shared" si="0"/>
        <v>20460</v>
      </c>
      <c r="J7" s="643">
        <f>26.4*780</f>
        <v>20592</v>
      </c>
      <c r="K7" s="643">
        <f>26.4*650</f>
        <v>17160</v>
      </c>
    </row>
    <row r="8" spans="1:11" s="121" customFormat="1" ht="18.75" customHeight="1" x14ac:dyDescent="0.3">
      <c r="A8" s="37" t="s">
        <v>72</v>
      </c>
      <c r="B8" s="40">
        <v>10500</v>
      </c>
      <c r="C8" s="40">
        <v>13200</v>
      </c>
      <c r="D8" s="40">
        <f>24*600</f>
        <v>14400</v>
      </c>
      <c r="E8" s="40">
        <f>24*700</f>
        <v>16800</v>
      </c>
      <c r="F8" s="643">
        <f>24*700</f>
        <v>16800</v>
      </c>
      <c r="G8" s="643">
        <f>26.4*750</f>
        <v>19800</v>
      </c>
      <c r="H8" s="643">
        <f t="shared" si="0"/>
        <v>20460</v>
      </c>
      <c r="I8" s="643">
        <f t="shared" si="0"/>
        <v>20460</v>
      </c>
      <c r="J8" s="643">
        <f>26.4*780</f>
        <v>20592</v>
      </c>
      <c r="K8" s="643">
        <f>26.4*650</f>
        <v>17160</v>
      </c>
    </row>
    <row r="9" spans="1:11" s="121" customFormat="1" ht="18.75" customHeight="1" x14ac:dyDescent="0.3">
      <c r="A9" s="37" t="s">
        <v>673</v>
      </c>
      <c r="B9" s="60">
        <v>4200</v>
      </c>
      <c r="C9" s="60">
        <v>4800</v>
      </c>
      <c r="D9" s="60">
        <f>50*11*12</f>
        <v>6600</v>
      </c>
      <c r="E9" s="194">
        <f>50*12*12</f>
        <v>7200</v>
      </c>
      <c r="F9" s="634">
        <f>55*12*12</f>
        <v>7920</v>
      </c>
      <c r="G9" s="634">
        <f>55*12*12</f>
        <v>7920</v>
      </c>
      <c r="H9" s="634">
        <f>40*13*12</f>
        <v>6240</v>
      </c>
      <c r="I9" s="634">
        <f>40*14*12</f>
        <v>6720</v>
      </c>
      <c r="J9" s="634">
        <f>40*14*12</f>
        <v>6720</v>
      </c>
      <c r="K9" s="634">
        <f>40*11*12</f>
        <v>5280</v>
      </c>
    </row>
    <row r="10" spans="1:11" s="121" customFormat="1" ht="18.75" customHeight="1" x14ac:dyDescent="0.3">
      <c r="A10" s="37" t="s">
        <v>73</v>
      </c>
      <c r="B10" s="60">
        <v>1200</v>
      </c>
      <c r="C10" s="60">
        <v>2200</v>
      </c>
      <c r="D10" s="60">
        <f>11*400</f>
        <v>4400</v>
      </c>
      <c r="E10" s="194">
        <f>12*400</f>
        <v>4800</v>
      </c>
      <c r="F10" s="634">
        <f>400*12</f>
        <v>4800</v>
      </c>
      <c r="G10" s="634">
        <f>500*12</f>
        <v>6000</v>
      </c>
      <c r="H10" s="634">
        <f>500*13</f>
        <v>6500</v>
      </c>
      <c r="I10" s="634">
        <f>500*14</f>
        <v>7000</v>
      </c>
      <c r="J10" s="634">
        <f>500*14</f>
        <v>7000</v>
      </c>
      <c r="K10" s="634">
        <f>500*14</f>
        <v>7000</v>
      </c>
    </row>
    <row r="11" spans="1:11" s="121" customFormat="1" ht="18.75" hidden="1" customHeight="1" x14ac:dyDescent="0.3">
      <c r="A11" s="45" t="s">
        <v>574</v>
      </c>
      <c r="B11" s="105">
        <v>3000</v>
      </c>
      <c r="C11" s="105">
        <v>0</v>
      </c>
      <c r="D11" s="105">
        <v>0</v>
      </c>
      <c r="E11" s="806">
        <v>7000</v>
      </c>
      <c r="F11" s="807">
        <f>7200*7</f>
        <v>50400</v>
      </c>
      <c r="G11" s="807">
        <f>8500*9</f>
        <v>76500</v>
      </c>
      <c r="H11" s="807">
        <f>8500*5</f>
        <v>42500</v>
      </c>
      <c r="I11" s="807">
        <v>0</v>
      </c>
      <c r="J11" s="807">
        <v>0</v>
      </c>
      <c r="K11" s="807">
        <v>0</v>
      </c>
    </row>
    <row r="12" spans="1:11" s="44" customFormat="1" ht="18.75" hidden="1" customHeight="1" x14ac:dyDescent="0.3">
      <c r="A12" s="45" t="s">
        <v>417</v>
      </c>
      <c r="B12" s="60">
        <v>10000</v>
      </c>
      <c r="C12" s="60">
        <v>2000</v>
      </c>
      <c r="D12" s="60">
        <v>4000</v>
      </c>
      <c r="E12" s="194">
        <v>5000</v>
      </c>
      <c r="F12" s="634"/>
      <c r="G12" s="634"/>
      <c r="H12" s="634"/>
      <c r="I12" s="634"/>
      <c r="J12" s="634"/>
      <c r="K12" s="634"/>
    </row>
    <row r="13" spans="1:11" s="44" customFormat="1" ht="18.75" customHeight="1" x14ac:dyDescent="0.3">
      <c r="A13" s="45" t="s">
        <v>383</v>
      </c>
      <c r="B13" s="60"/>
      <c r="C13" s="60">
        <v>1000</v>
      </c>
      <c r="D13" s="60">
        <v>1000</v>
      </c>
      <c r="E13" s="60">
        <f>600*2</f>
        <v>1200</v>
      </c>
      <c r="F13" s="634">
        <f>600*2</f>
        <v>1200</v>
      </c>
      <c r="G13" s="634">
        <f>800*2</f>
        <v>1600</v>
      </c>
      <c r="H13" s="634">
        <f>800*2</f>
        <v>1600</v>
      </c>
      <c r="I13" s="634">
        <f>800*2</f>
        <v>1600</v>
      </c>
      <c r="J13" s="634">
        <f>(500*2)+(500*2)</f>
        <v>2000</v>
      </c>
      <c r="K13" s="634">
        <f>(500*2)+(500*2)</f>
        <v>2000</v>
      </c>
    </row>
    <row r="14" spans="1:11" s="44" customFormat="1" ht="18.75" customHeight="1" x14ac:dyDescent="0.3">
      <c r="A14" s="45" t="s">
        <v>587</v>
      </c>
      <c r="B14" s="60"/>
      <c r="C14" s="60">
        <v>20000</v>
      </c>
      <c r="D14" s="60">
        <v>26000</v>
      </c>
      <c r="E14" s="60">
        <f>6000</f>
        <v>6000</v>
      </c>
      <c r="F14" s="633">
        <v>12000</v>
      </c>
      <c r="G14" s="633">
        <v>12000</v>
      </c>
      <c r="H14" s="633">
        <f>3500*2</f>
        <v>7000</v>
      </c>
      <c r="I14" s="633">
        <f>3000*4</f>
        <v>12000</v>
      </c>
      <c r="J14" s="633">
        <f>3000*4</f>
        <v>12000</v>
      </c>
      <c r="K14" s="633">
        <f>3000*3</f>
        <v>9000</v>
      </c>
    </row>
    <row r="15" spans="1:11" s="44" customFormat="1" ht="18.75" hidden="1" customHeight="1" x14ac:dyDescent="0.3">
      <c r="A15" s="45" t="s">
        <v>522</v>
      </c>
      <c r="B15" s="60"/>
      <c r="C15" s="60"/>
      <c r="D15" s="60"/>
      <c r="E15" s="60"/>
      <c r="F15" s="633">
        <f>23*400</f>
        <v>9200</v>
      </c>
      <c r="G15" s="634"/>
      <c r="H15" s="634"/>
      <c r="I15" s="634"/>
      <c r="J15" s="634"/>
      <c r="K15" s="634"/>
    </row>
    <row r="16" spans="1:11" s="44" customFormat="1" ht="18.75" hidden="1" customHeight="1" x14ac:dyDescent="0.3">
      <c r="A16" s="45" t="s">
        <v>593</v>
      </c>
      <c r="B16" s="60"/>
      <c r="C16" s="60"/>
      <c r="D16" s="60"/>
      <c r="E16" s="60"/>
      <c r="F16" s="633"/>
      <c r="G16" s="634">
        <f>6900*2</f>
        <v>13800</v>
      </c>
      <c r="H16" s="634">
        <f>8400*8</f>
        <v>67200</v>
      </c>
      <c r="I16" s="634">
        <v>0</v>
      </c>
      <c r="J16" s="634">
        <v>0</v>
      </c>
      <c r="K16" s="634">
        <v>0</v>
      </c>
    </row>
    <row r="17" spans="1:11" s="44" customFormat="1" ht="18.75" customHeight="1" x14ac:dyDescent="0.3">
      <c r="A17" s="45" t="s">
        <v>710</v>
      </c>
      <c r="B17" s="60"/>
      <c r="C17" s="60"/>
      <c r="D17" s="60"/>
      <c r="E17" s="60"/>
      <c r="F17" s="633"/>
      <c r="G17" s="634"/>
      <c r="H17" s="634"/>
      <c r="I17" s="634"/>
      <c r="J17" s="634">
        <f>(78.92*40)+(118.36*2)+(39.44*4)</f>
        <v>3551.2799999999997</v>
      </c>
      <c r="K17" s="634">
        <f>(78.92*30)+(118.36*2)+(39.44*4)</f>
        <v>2762.08</v>
      </c>
    </row>
    <row r="18" spans="1:11" s="44" customFormat="1" ht="18.75" customHeight="1" x14ac:dyDescent="0.3">
      <c r="A18" s="45" t="s">
        <v>781</v>
      </c>
      <c r="B18" s="60"/>
      <c r="C18" s="60"/>
      <c r="D18" s="60"/>
      <c r="E18" s="60"/>
      <c r="F18" s="633"/>
      <c r="G18" s="634"/>
      <c r="H18" s="644">
        <f>10*12*9</f>
        <v>1080</v>
      </c>
      <c r="I18" s="644">
        <f>(12*1*8.5)+(12*3*4)</f>
        <v>246</v>
      </c>
      <c r="J18" s="644">
        <f>(12*1*8.5)+(12*3*4)</f>
        <v>246</v>
      </c>
      <c r="K18" s="644">
        <f>(12*1*8.5)+(12*3*4)</f>
        <v>246</v>
      </c>
    </row>
    <row r="19" spans="1:11" s="44" customFormat="1" ht="18.75" customHeight="1" x14ac:dyDescent="0.3">
      <c r="A19" s="45" t="s">
        <v>782</v>
      </c>
      <c r="B19" s="60"/>
      <c r="C19" s="60"/>
      <c r="D19" s="60"/>
      <c r="E19" s="60"/>
      <c r="F19" s="633"/>
      <c r="G19" s="634"/>
      <c r="H19" s="643">
        <f>50*13</f>
        <v>650</v>
      </c>
      <c r="I19" s="643">
        <f>50*12</f>
        <v>600</v>
      </c>
      <c r="J19" s="643">
        <f>45*12</f>
        <v>540</v>
      </c>
      <c r="K19" s="643">
        <f>45*12</f>
        <v>540</v>
      </c>
    </row>
    <row r="20" spans="1:11" s="44" customFormat="1" ht="18.75" customHeight="1" thickBot="1" x14ac:dyDescent="0.35">
      <c r="A20" s="45"/>
      <c r="B20" s="60"/>
      <c r="C20" s="60"/>
      <c r="D20" s="60"/>
      <c r="E20" s="60"/>
      <c r="F20" s="633"/>
      <c r="G20" s="634"/>
      <c r="H20" s="634"/>
      <c r="I20" s="634"/>
      <c r="J20" s="634"/>
      <c r="K20" s="634"/>
    </row>
    <row r="21" spans="1:11" s="44" customFormat="1" ht="18.75" customHeight="1" thickTop="1" x14ac:dyDescent="0.3">
      <c r="A21" s="86" t="s">
        <v>113</v>
      </c>
      <c r="B21" s="87">
        <f t="shared" ref="B21:F21" si="1">SUM(B4:B20)</f>
        <v>53800</v>
      </c>
      <c r="C21" s="87">
        <f t="shared" si="1"/>
        <v>71572.800000000003</v>
      </c>
      <c r="D21" s="87">
        <f t="shared" si="1"/>
        <v>85972.800000000003</v>
      </c>
      <c r="E21" s="87">
        <f t="shared" si="1"/>
        <v>81080.479999999996</v>
      </c>
      <c r="F21" s="728">
        <f t="shared" si="1"/>
        <v>137831.20000000001</v>
      </c>
      <c r="G21" s="843">
        <f t="shared" ref="G21" si="2">SUM(G4:G20)</f>
        <v>181453</v>
      </c>
      <c r="H21" s="843">
        <f>SUM(H4:H20)-H18</f>
        <v>204251.6</v>
      </c>
      <c r="I21" s="843">
        <f>SUM(I4:I20)-I18</f>
        <v>99390.8</v>
      </c>
      <c r="J21" s="843">
        <f t="shared" ref="J21:K21" si="3">SUM(J4:J20)</f>
        <v>108220.08</v>
      </c>
      <c r="K21" s="843">
        <f t="shared" si="3"/>
        <v>96126.88</v>
      </c>
    </row>
    <row r="22" spans="1:11" s="44" customFormat="1" ht="16.5" x14ac:dyDescent="0.3">
      <c r="A22" s="16"/>
    </row>
    <row r="23" spans="1:11" ht="12.95" customHeight="1" x14ac:dyDescent="0.3">
      <c r="A23" s="16"/>
    </row>
    <row r="24" spans="1:11" ht="12.95" hidden="1" customHeight="1" x14ac:dyDescent="0.3">
      <c r="A24" s="938" t="s">
        <v>577</v>
      </c>
    </row>
    <row r="25" spans="1:11" ht="12.95" customHeight="1" x14ac:dyDescent="0.3">
      <c r="A25" s="16"/>
    </row>
    <row r="26" spans="1:11" ht="12.95" customHeight="1" x14ac:dyDescent="0.3">
      <c r="A26" s="16"/>
    </row>
    <row r="27" spans="1:11" s="44" customFormat="1" ht="12.95" customHeight="1" x14ac:dyDescent="0.3">
      <c r="A27" s="16"/>
    </row>
    <row r="28" spans="1:11" ht="12.95" customHeight="1" x14ac:dyDescent="0.3">
      <c r="A28" s="16"/>
    </row>
    <row r="29" spans="1:11" ht="12.95" customHeight="1" x14ac:dyDescent="0.3">
      <c r="A29" s="16"/>
    </row>
    <row r="30" spans="1:11" ht="12.95" customHeight="1" x14ac:dyDescent="0.3">
      <c r="A30" s="16"/>
    </row>
    <row r="31" spans="1:11" ht="12.95" customHeight="1" x14ac:dyDescent="0.3">
      <c r="A31" s="25"/>
    </row>
    <row r="32" spans="1:11" ht="12.95" customHeight="1" x14ac:dyDescent="0.3">
      <c r="A32" s="25"/>
      <c r="B32" s="38"/>
    </row>
    <row r="33" spans="1:2" ht="12.95" customHeight="1" x14ac:dyDescent="0.3">
      <c r="A33" s="25"/>
      <c r="B33" s="38"/>
    </row>
    <row r="34" spans="1:2" ht="12.95" customHeight="1" x14ac:dyDescent="0.3">
      <c r="A34" s="25"/>
      <c r="B34" s="38"/>
    </row>
    <row r="35" spans="1:2" ht="18.75" customHeight="1" x14ac:dyDescent="0.3">
      <c r="A35" s="16"/>
    </row>
    <row r="36" spans="1:2" ht="18.75" customHeight="1" x14ac:dyDescent="0.3">
      <c r="A36" s="16"/>
    </row>
  </sheetData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ColWidth="9.140625" defaultRowHeight="16.5" x14ac:dyDescent="0.3"/>
  <cols>
    <col min="1" max="1" width="22" style="109" customWidth="1"/>
    <col min="2" max="4" width="11.7109375" style="109" hidden="1" customWidth="1"/>
    <col min="5" max="8" width="12" style="109" hidden="1" customWidth="1"/>
    <col min="9" max="16384" width="9.140625" style="109"/>
  </cols>
  <sheetData>
    <row r="1" spans="1:11" ht="22.5" customHeight="1" x14ac:dyDescent="0.3">
      <c r="A1" s="551" t="s">
        <v>475</v>
      </c>
      <c r="B1" s="187"/>
      <c r="C1" s="187"/>
      <c r="D1" s="187"/>
      <c r="E1" s="203"/>
      <c r="F1" s="203"/>
      <c r="G1" s="203"/>
      <c r="H1" s="203"/>
      <c r="I1" s="203"/>
      <c r="J1" s="203"/>
      <c r="K1" s="203"/>
    </row>
    <row r="2" spans="1:11" x14ac:dyDescent="0.3">
      <c r="A2" s="124"/>
      <c r="B2" s="96"/>
      <c r="C2" s="96"/>
      <c r="D2" s="96"/>
      <c r="E2" s="47"/>
      <c r="F2" s="47"/>
      <c r="G2" s="47"/>
      <c r="H2" s="47"/>
      <c r="I2" s="47"/>
      <c r="J2" s="47"/>
      <c r="K2" s="47"/>
    </row>
    <row r="3" spans="1:11" x14ac:dyDescent="0.3">
      <c r="A3" s="35" t="s">
        <v>115</v>
      </c>
      <c r="B3" s="39">
        <v>2010</v>
      </c>
      <c r="C3" s="97">
        <v>2013</v>
      </c>
      <c r="D3" s="97">
        <v>2014</v>
      </c>
      <c r="E3" s="97">
        <v>2015</v>
      </c>
      <c r="F3" s="97">
        <v>2016</v>
      </c>
      <c r="G3" s="97">
        <v>2017</v>
      </c>
      <c r="H3" s="97">
        <v>2018</v>
      </c>
      <c r="I3" s="97">
        <v>2019</v>
      </c>
      <c r="J3" s="97">
        <v>2020</v>
      </c>
      <c r="K3" s="97">
        <v>2021</v>
      </c>
    </row>
    <row r="4" spans="1:11" x14ac:dyDescent="0.3">
      <c r="A4" s="129"/>
      <c r="B4" s="99"/>
      <c r="C4" s="97"/>
      <c r="D4" s="97"/>
      <c r="E4" s="97"/>
      <c r="F4" s="687"/>
      <c r="G4" s="687"/>
      <c r="H4" s="687"/>
      <c r="I4" s="687"/>
      <c r="J4" s="687"/>
      <c r="K4" s="687"/>
    </row>
    <row r="5" spans="1:11" x14ac:dyDescent="0.3">
      <c r="A5" s="123"/>
      <c r="B5" s="96"/>
      <c r="C5" s="117"/>
      <c r="D5" s="117"/>
      <c r="E5" s="117"/>
      <c r="F5" s="688"/>
      <c r="G5" s="688"/>
      <c r="H5" s="688"/>
      <c r="I5" s="688"/>
      <c r="J5" s="688"/>
      <c r="K5" s="688"/>
    </row>
    <row r="6" spans="1:11" x14ac:dyDescent="0.3">
      <c r="A6" s="37" t="s">
        <v>140</v>
      </c>
      <c r="B6" s="40">
        <v>40000</v>
      </c>
      <c r="C6" s="47">
        <v>40000</v>
      </c>
      <c r="D6" s="533">
        <v>40000</v>
      </c>
      <c r="E6" s="533">
        <v>30000</v>
      </c>
      <c r="F6" s="689">
        <v>30000</v>
      </c>
      <c r="G6" s="689">
        <v>30000</v>
      </c>
      <c r="H6" s="689">
        <v>30000</v>
      </c>
      <c r="I6" s="689">
        <f>14500*2</f>
        <v>29000</v>
      </c>
      <c r="J6" s="689">
        <f>14500*2</f>
        <v>29000</v>
      </c>
      <c r="K6" s="689">
        <f>13000*2</f>
        <v>26000</v>
      </c>
    </row>
    <row r="7" spans="1:11" x14ac:dyDescent="0.3">
      <c r="A7" s="37"/>
      <c r="B7" s="40"/>
      <c r="C7" s="117"/>
      <c r="D7" s="117"/>
      <c r="E7" s="117"/>
      <c r="F7" s="688"/>
      <c r="G7" s="690"/>
      <c r="H7" s="690"/>
      <c r="I7" s="690"/>
      <c r="J7" s="690"/>
      <c r="K7" s="690"/>
    </row>
    <row r="8" spans="1:11" ht="17.25" thickBot="1" x14ac:dyDescent="0.35">
      <c r="A8" s="502"/>
      <c r="B8" s="278">
        <v>-8500</v>
      </c>
      <c r="C8" s="237"/>
      <c r="D8" s="237"/>
      <c r="E8" s="237"/>
      <c r="F8" s="691"/>
      <c r="G8" s="692"/>
      <c r="H8" s="692"/>
      <c r="I8" s="692"/>
      <c r="J8" s="692"/>
      <c r="K8" s="692"/>
    </row>
    <row r="9" spans="1:11" ht="17.25" thickTop="1" x14ac:dyDescent="0.3">
      <c r="A9" s="86" t="s">
        <v>113</v>
      </c>
      <c r="B9" s="42">
        <f t="shared" ref="B9:H9" si="0">SUM(B4:B8)</f>
        <v>31500</v>
      </c>
      <c r="C9" s="131">
        <f t="shared" si="0"/>
        <v>40000</v>
      </c>
      <c r="D9" s="131">
        <f t="shared" si="0"/>
        <v>40000</v>
      </c>
      <c r="E9" s="131">
        <f t="shared" si="0"/>
        <v>30000</v>
      </c>
      <c r="F9" s="693">
        <f t="shared" si="0"/>
        <v>30000</v>
      </c>
      <c r="G9" s="694">
        <f t="shared" ref="G9" si="1">SUM(G4:G8)</f>
        <v>30000</v>
      </c>
      <c r="H9" s="694">
        <f t="shared" si="0"/>
        <v>30000</v>
      </c>
      <c r="I9" s="694">
        <f t="shared" ref="I9:J9" si="2">SUM(I4:I8)</f>
        <v>29000</v>
      </c>
      <c r="J9" s="694">
        <f t="shared" si="2"/>
        <v>29000</v>
      </c>
      <c r="K9" s="694">
        <f t="shared" ref="K9" si="3">SUM(K4:K8)</f>
        <v>26000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Header>&amp;RPage &amp;P of &amp;N</oddHeader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2</vt:i4>
      </vt:variant>
    </vt:vector>
  </HeadingPairs>
  <TitlesOfParts>
    <vt:vector size="53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642 RESCUE TECH CERTS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2020-06-17T00:14:48Z</cp:lastPrinted>
  <dcterms:created xsi:type="dcterms:W3CDTF">2002-06-05T21:07:58Z</dcterms:created>
  <dcterms:modified xsi:type="dcterms:W3CDTF">2020-07-29T20:48:43Z</dcterms:modified>
</cp:coreProperties>
</file>